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Objects="placeholders" codeName="ThisWorkbook" defaultThemeVersion="124226"/>
  <mc:AlternateContent xmlns:mc="http://schemas.openxmlformats.org/markup-compatibility/2006">
    <mc:Choice Requires="x15">
      <x15ac:absPath xmlns:x15ac="http://schemas.microsoft.com/office/spreadsheetml/2010/11/ac" url="G:\Shared drives\FIN-LA\ReDesign Schools Louisiana\Compliance\Act370\Semi-Annual Form A\"/>
    </mc:Choice>
  </mc:AlternateContent>
  <xr:revisionPtr revIDLastSave="0" documentId="8_{DC53FF56-A528-4586-8D00-AF715943BEEB}" xr6:coauthVersionLast="47" xr6:coauthVersionMax="47" xr10:uidLastSave="{00000000-0000-0000-0000-000000000000}"/>
  <bookViews>
    <workbookView xWindow="-110" yWindow="-110" windowWidth="19420" windowHeight="11500" tabRatio="633" firstSheet="5" activeTab="7" xr2:uid="{00000000-000D-0000-FFFF-FFFF00000000}"/>
  </bookViews>
  <sheets>
    <sheet name="Submission Dates" sheetId="29" state="hidden" r:id="rId1"/>
    <sheet name="SemiAnnual Budget 1 Upload" sheetId="41" r:id="rId2"/>
    <sheet name="P&amp;L 2" sheetId="37" r:id="rId3"/>
    <sheet name="P&amp;L SR 2" sheetId="38" r:id="rId4"/>
    <sheet name="P&amp;L 1" sheetId="39" r:id="rId5"/>
    <sheet name="P&amp;L SR 1" sheetId="40" r:id="rId6"/>
    <sheet name="Master Mapping" sheetId="36" r:id="rId7"/>
    <sheet name="FY 24-25 Budget Form A" sheetId="35" r:id="rId8"/>
    <sheet name="FBT" sheetId="30" r:id="rId9"/>
    <sheet name="FY24" sheetId="31" r:id="rId10"/>
    <sheet name="Form A Mapping" sheetId="32" r:id="rId11"/>
    <sheet name="Instruc Annual Budget " sheetId="27" state="hidden" r:id="rId12"/>
    <sheet name="Annual Budget " sheetId="1" r:id="rId13"/>
    <sheet name="Instruc Qtrly Budget" sheetId="28" state="hidden" r:id="rId14"/>
    <sheet name="Qtr 1 Budget" sheetId="22" r:id="rId15"/>
    <sheet name="Qtr 2 Budget" sheetId="23" r:id="rId16"/>
    <sheet name="Qtr 3 Budget" sheetId="24" r:id="rId17"/>
  </sheets>
  <externalReferences>
    <externalReference r:id="rId18"/>
  </externalReferences>
  <definedNames>
    <definedName name="_xlnm._FilterDatabase" localSheetId="4" hidden="1">'P&amp;L 1'!$A$1:$E$151</definedName>
    <definedName name="_xlnm._FilterDatabase" localSheetId="2" hidden="1">'P&amp;L 2'!$A$1:$E$127</definedName>
    <definedName name="_xlnm.Print_Area" localSheetId="12">'Annual Budget '!$A$1:$N$161</definedName>
    <definedName name="_xlnm.Print_Area" localSheetId="14">'Qtr 1 Budget'!$A$1:$T$160</definedName>
    <definedName name="_xlnm.Print_Area" localSheetId="15">'Qtr 2 Budget'!$A$1:$T$161</definedName>
    <definedName name="_xlnm.Print_Area" localSheetId="16">'Qtr 3 Budget'!$A$1:$T$161</definedName>
    <definedName name="Print_Area_MI" localSheetId="7">#REF!</definedName>
    <definedName name="Print_Area_MI" localSheetId="11">#REF!</definedName>
    <definedName name="Print_Area_MI" localSheetId="13">#REF!</definedName>
    <definedName name="Print_Area_MI" localSheetId="6">'[1]Annual Budget '!#REF!</definedName>
    <definedName name="Print_Area_MI" localSheetId="14">'Qtr 1 Budget'!#REF!</definedName>
    <definedName name="Print_Area_MI" localSheetId="15">'Qtr 2 Budget'!#REF!</definedName>
    <definedName name="Print_Area_MI" localSheetId="16">'Qtr 3 Budget'!#REF!</definedName>
    <definedName name="Print_Area_MI" localSheetId="1">'[1]Annual Budget '!#REF!</definedName>
    <definedName name="Print_Area_MI">'Annual Budget '!#REF!</definedName>
    <definedName name="_xlnm.Print_Titles" localSheetId="12">'Annual Budget '!$1:$10</definedName>
    <definedName name="_xlnm.Print_Titles" localSheetId="14">'Qtr 1 Budget'!$A:$E,'Qtr 1 Budget'!$1:$10</definedName>
    <definedName name="_xlnm.Print_Titles" localSheetId="15">'Qtr 2 Budget'!$A:$E,'Qtr 2 Budget'!$1:$10</definedName>
    <definedName name="_xlnm.Print_Titles" localSheetId="16">'Qtr 3 Budget'!$A:$E,'Qtr 3 Budget'!$1:$10</definedName>
    <definedName name="Print_Titles_MI" localSheetId="14">'Qtr 1 Budget'!$1:$10</definedName>
    <definedName name="Print_Titles_MI" localSheetId="15">'Qtr 2 Budget'!$1:$10</definedName>
    <definedName name="Print_Titles_MI" localSheetId="16">'Qtr 3 Budget'!$1:$10</definedName>
    <definedName name="Print_Titles_MI">'Annual Budget '!$1:$10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4" i="32" l="1"/>
  <c r="AE15" i="32"/>
  <c r="AE16" i="32"/>
  <c r="AE17" i="32"/>
  <c r="AE18" i="32"/>
  <c r="AE19" i="32"/>
  <c r="AE20" i="32"/>
  <c r="AE21" i="32"/>
  <c r="AE22" i="32"/>
  <c r="AE23" i="32"/>
  <c r="AE24" i="32"/>
  <c r="AE25" i="32"/>
  <c r="AE26" i="32"/>
  <c r="AE27" i="32"/>
  <c r="AE28" i="32"/>
  <c r="AE29" i="32"/>
  <c r="AE30" i="32"/>
  <c r="AE31" i="32"/>
  <c r="AE32" i="32"/>
  <c r="AE33" i="32"/>
  <c r="AE13" i="32"/>
  <c r="I60" i="35"/>
  <c r="K60" i="35"/>
  <c r="L60" i="35"/>
  <c r="M60" i="35"/>
  <c r="I55" i="35"/>
  <c r="K55" i="35"/>
  <c r="L55" i="35"/>
  <c r="M55" i="35"/>
  <c r="N55" i="35"/>
  <c r="I52" i="35"/>
  <c r="K52" i="35"/>
  <c r="L52" i="35"/>
  <c r="M52" i="35"/>
  <c r="N52" i="35"/>
  <c r="I49" i="35"/>
  <c r="K49" i="35"/>
  <c r="L49" i="35"/>
  <c r="M49" i="35"/>
  <c r="N49" i="35"/>
  <c r="I45" i="35"/>
  <c r="K45" i="35"/>
  <c r="L45" i="35"/>
  <c r="M45" i="35"/>
  <c r="N45" i="35"/>
  <c r="I40" i="35"/>
  <c r="K40" i="35"/>
  <c r="L40" i="35"/>
  <c r="M40" i="35"/>
  <c r="N40" i="35"/>
  <c r="I30" i="35"/>
  <c r="K30" i="35"/>
  <c r="L30" i="35"/>
  <c r="M30" i="35"/>
  <c r="N30" i="35"/>
  <c r="Z14" i="32"/>
  <c r="Z15" i="32"/>
  <c r="Z16" i="32"/>
  <c r="Z17" i="32"/>
  <c r="Z18" i="32"/>
  <c r="Z19" i="32"/>
  <c r="Z20" i="32"/>
  <c r="Z21" i="32"/>
  <c r="Z22" i="32"/>
  <c r="Z23" i="32"/>
  <c r="Z24" i="32"/>
  <c r="Z25" i="32"/>
  <c r="Z26" i="32"/>
  <c r="Z27" i="32"/>
  <c r="Z28" i="32"/>
  <c r="Z29" i="32"/>
  <c r="Z30" i="32"/>
  <c r="Z31" i="32"/>
  <c r="Z32" i="32"/>
  <c r="Z33" i="32"/>
  <c r="X14" i="32"/>
  <c r="X15" i="32"/>
  <c r="X16" i="32"/>
  <c r="X17" i="32"/>
  <c r="X18" i="32"/>
  <c r="X19" i="32"/>
  <c r="X20" i="32"/>
  <c r="X21" i="32"/>
  <c r="X22" i="32"/>
  <c r="X23" i="32"/>
  <c r="X24" i="32"/>
  <c r="X25" i="32"/>
  <c r="X26" i="32"/>
  <c r="X27" i="32"/>
  <c r="X28" i="32"/>
  <c r="X29" i="32"/>
  <c r="X30" i="32"/>
  <c r="X31" i="32"/>
  <c r="X32" i="32"/>
  <c r="X33" i="32"/>
  <c r="X13" i="32"/>
  <c r="A9" i="38" a="1"/>
  <c r="A9" i="38" s="1"/>
  <c r="A10" i="38" a="1"/>
  <c r="A10" i="38" s="1"/>
  <c r="A11" i="38" a="1"/>
  <c r="A11" i="38" s="1"/>
  <c r="A12" i="38" a="1"/>
  <c r="A12" i="38" s="1"/>
  <c r="A13" i="38" a="1"/>
  <c r="A13" i="38" s="1"/>
  <c r="A14" i="38" a="1"/>
  <c r="A14" i="38" s="1"/>
  <c r="A15" i="38" a="1"/>
  <c r="A15" i="38" s="1"/>
  <c r="A16" i="38" a="1"/>
  <c r="A16" i="38" s="1"/>
  <c r="A17" i="38" a="1"/>
  <c r="A17" i="38" s="1"/>
  <c r="A18" i="38" a="1"/>
  <c r="A18" i="38" s="1"/>
  <c r="A19" i="38" a="1"/>
  <c r="A19" i="38" s="1"/>
  <c r="A20" i="38" a="1"/>
  <c r="A20" i="38" s="1"/>
  <c r="A21" i="38" a="1"/>
  <c r="A21" i="38" s="1"/>
  <c r="A22" i="38" a="1"/>
  <c r="A22" i="38" s="1"/>
  <c r="A23" i="38" a="1"/>
  <c r="A23" i="38" s="1"/>
  <c r="A24" i="38" a="1"/>
  <c r="A24" i="38" s="1"/>
  <c r="A25" i="38" a="1"/>
  <c r="A25" i="38" s="1"/>
  <c r="A26" i="38" a="1"/>
  <c r="A26" i="38" s="1"/>
  <c r="A27" i="38" a="1"/>
  <c r="A27" i="38" s="1"/>
  <c r="A28" i="38" a="1"/>
  <c r="A28" i="38" s="1"/>
  <c r="A29" i="38" a="1"/>
  <c r="A29" i="38" s="1"/>
  <c r="A30" i="38" a="1"/>
  <c r="A30" i="38" s="1"/>
  <c r="A31" i="38" a="1"/>
  <c r="A31" i="38" s="1"/>
  <c r="A32" i="38" a="1"/>
  <c r="A32" i="38" s="1"/>
  <c r="A33" i="38" a="1"/>
  <c r="A33" i="38" s="1"/>
  <c r="A34" i="38" a="1"/>
  <c r="A34" i="38" s="1"/>
  <c r="A35" i="38" a="1"/>
  <c r="A35" i="38" s="1"/>
  <c r="A36" i="38" a="1"/>
  <c r="A36" i="38" s="1"/>
  <c r="A37" i="38" a="1"/>
  <c r="A37" i="38" s="1"/>
  <c r="A38" i="38" a="1"/>
  <c r="A38" i="38" s="1"/>
  <c r="A39" i="38" a="1"/>
  <c r="A39" i="38" s="1"/>
  <c r="R36" i="38"/>
  <c r="Q36" i="38"/>
  <c r="S36" i="38" s="1"/>
  <c r="O36" i="38"/>
  <c r="N36" i="38"/>
  <c r="L36" i="38"/>
  <c r="K36" i="38"/>
  <c r="J36" i="38"/>
  <c r="I36" i="38"/>
  <c r="G36" i="38"/>
  <c r="F36" i="38"/>
  <c r="H36" i="38" s="1"/>
  <c r="D36" i="38"/>
  <c r="E36" i="38" s="1"/>
  <c r="T36" i="38" s="1"/>
  <c r="C120" i="37" s="1"/>
  <c r="B120" i="37" s="1"/>
  <c r="C36" i="38"/>
  <c r="S35" i="38"/>
  <c r="M35" i="38"/>
  <c r="M36" i="38" s="1"/>
  <c r="P36" i="38" s="1"/>
  <c r="H35" i="38"/>
  <c r="G35" i="38"/>
  <c r="E35" i="38"/>
  <c r="S34" i="38"/>
  <c r="P34" i="38"/>
  <c r="H34" i="38"/>
  <c r="E34" i="38"/>
  <c r="T34" i="38" s="1"/>
  <c r="C118" i="37" s="1"/>
  <c r="B118" i="37" s="1"/>
  <c r="Q33" i="38"/>
  <c r="O33" i="38"/>
  <c r="N33" i="38"/>
  <c r="M33" i="38"/>
  <c r="L33" i="38"/>
  <c r="L37" i="38" s="1"/>
  <c r="K33" i="38"/>
  <c r="K37" i="38" s="1"/>
  <c r="J33" i="38"/>
  <c r="J37" i="38" s="1"/>
  <c r="I33" i="38"/>
  <c r="P33" i="38" s="1"/>
  <c r="G33" i="38"/>
  <c r="F33" i="38"/>
  <c r="H33" i="38" s="1"/>
  <c r="D33" i="38"/>
  <c r="E33" i="38" s="1"/>
  <c r="C33" i="38"/>
  <c r="R32" i="38"/>
  <c r="R33" i="38" s="1"/>
  <c r="P32" i="38"/>
  <c r="H32" i="38"/>
  <c r="E32" i="38"/>
  <c r="S31" i="38"/>
  <c r="P31" i="38"/>
  <c r="H31" i="38"/>
  <c r="E31" i="38"/>
  <c r="T31" i="38" s="1"/>
  <c r="C91" i="37" s="1"/>
  <c r="B91" i="37" s="1"/>
  <c r="R30" i="38"/>
  <c r="Q30" i="38"/>
  <c r="Q37" i="38" s="1"/>
  <c r="O30" i="38"/>
  <c r="P30" i="38" s="1"/>
  <c r="N30" i="38"/>
  <c r="N37" i="38" s="1"/>
  <c r="M30" i="38"/>
  <c r="L30" i="38"/>
  <c r="K30" i="38"/>
  <c r="J30" i="38"/>
  <c r="I30" i="38"/>
  <c r="G30" i="38"/>
  <c r="F30" i="38"/>
  <c r="H30" i="38" s="1"/>
  <c r="D30" i="38"/>
  <c r="C30" i="38"/>
  <c r="E30" i="38" s="1"/>
  <c r="T29" i="38"/>
  <c r="S29" i="38"/>
  <c r="R29" i="38"/>
  <c r="P29" i="38"/>
  <c r="H29" i="38"/>
  <c r="E29" i="38"/>
  <c r="S28" i="38"/>
  <c r="P28" i="38"/>
  <c r="H28" i="38"/>
  <c r="E28" i="38"/>
  <c r="T28" i="38" s="1"/>
  <c r="C79" i="37" s="1"/>
  <c r="B79" i="37" s="1"/>
  <c r="S27" i="38"/>
  <c r="R27" i="38"/>
  <c r="Q27" i="38"/>
  <c r="N27" i="38"/>
  <c r="L27" i="38"/>
  <c r="K27" i="38"/>
  <c r="J27" i="38"/>
  <c r="I27" i="38"/>
  <c r="P27" i="38" s="1"/>
  <c r="F27" i="38"/>
  <c r="F37" i="38" s="1"/>
  <c r="D27" i="38"/>
  <c r="D37" i="38" s="1"/>
  <c r="C27" i="38"/>
  <c r="E27" i="38" s="1"/>
  <c r="S26" i="38"/>
  <c r="J26" i="38"/>
  <c r="P26" i="38" s="1"/>
  <c r="H26" i="38"/>
  <c r="E26" i="38"/>
  <c r="T25" i="38"/>
  <c r="C42" i="37" s="1"/>
  <c r="B42" i="37" s="1"/>
  <c r="S25" i="38"/>
  <c r="P25" i="38"/>
  <c r="K25" i="38"/>
  <c r="H25" i="38"/>
  <c r="E25" i="38"/>
  <c r="S24" i="38"/>
  <c r="J24" i="38"/>
  <c r="P24" i="38" s="1"/>
  <c r="G24" i="38"/>
  <c r="H24" i="38" s="1"/>
  <c r="E24" i="38"/>
  <c r="S23" i="38"/>
  <c r="O23" i="38"/>
  <c r="O27" i="38" s="1"/>
  <c r="O37" i="38" s="1"/>
  <c r="M23" i="38"/>
  <c r="K23" i="38"/>
  <c r="P23" i="38" s="1"/>
  <c r="G23" i="38"/>
  <c r="H23" i="38" s="1"/>
  <c r="E23" i="38"/>
  <c r="S22" i="38"/>
  <c r="P22" i="38"/>
  <c r="T22" i="38" s="1"/>
  <c r="C33" i="37" s="1"/>
  <c r="B33" i="37" s="1"/>
  <c r="M22" i="38"/>
  <c r="M27" i="38" s="1"/>
  <c r="M37" i="38" s="1"/>
  <c r="H22" i="38"/>
  <c r="E22" i="38"/>
  <c r="S21" i="38"/>
  <c r="P21" i="38"/>
  <c r="H21" i="38"/>
  <c r="E21" i="38"/>
  <c r="T21" i="38" s="1"/>
  <c r="C31" i="37" s="1"/>
  <c r="B31" i="37" s="1"/>
  <c r="K18" i="38"/>
  <c r="K19" i="38" s="1"/>
  <c r="K38" i="38" s="1"/>
  <c r="K39" i="38" s="1"/>
  <c r="C18" i="38"/>
  <c r="C19" i="38" s="1"/>
  <c r="R17" i="38"/>
  <c r="Q17" i="38"/>
  <c r="S17" i="38" s="1"/>
  <c r="K17" i="38"/>
  <c r="I17" i="38"/>
  <c r="G17" i="38"/>
  <c r="F17" i="38"/>
  <c r="H17" i="38" s="1"/>
  <c r="E17" i="38"/>
  <c r="D17" i="38"/>
  <c r="C17" i="38"/>
  <c r="S16" i="38"/>
  <c r="L16" i="38"/>
  <c r="L17" i="38" s="1"/>
  <c r="L18" i="38" s="1"/>
  <c r="L19" i="38" s="1"/>
  <c r="L38" i="38" s="1"/>
  <c r="L39" i="38" s="1"/>
  <c r="K16" i="38"/>
  <c r="J16" i="38"/>
  <c r="P16" i="38" s="1"/>
  <c r="H16" i="38"/>
  <c r="E16" i="38"/>
  <c r="S15" i="38"/>
  <c r="T15" i="38" s="1"/>
  <c r="C24" i="37" s="1"/>
  <c r="B24" i="37" s="1"/>
  <c r="P15" i="38"/>
  <c r="N15" i="38"/>
  <c r="N17" i="38" s="1"/>
  <c r="N18" i="38" s="1"/>
  <c r="N19" i="38" s="1"/>
  <c r="H15" i="38"/>
  <c r="E15" i="38"/>
  <c r="S14" i="38"/>
  <c r="O14" i="38"/>
  <c r="O17" i="38" s="1"/>
  <c r="O18" i="38" s="1"/>
  <c r="O19" i="38" s="1"/>
  <c r="O38" i="38" s="1"/>
  <c r="O39" i="38" s="1"/>
  <c r="H14" i="38"/>
  <c r="E14" i="38"/>
  <c r="S13" i="38"/>
  <c r="T13" i="38" s="1"/>
  <c r="C22" i="37" s="1"/>
  <c r="B22" i="37" s="1"/>
  <c r="P13" i="38"/>
  <c r="M13" i="38"/>
  <c r="M17" i="38" s="1"/>
  <c r="M18" i="38" s="1"/>
  <c r="M19" i="38" s="1"/>
  <c r="M38" i="38" s="1"/>
  <c r="M39" i="38" s="1"/>
  <c r="H13" i="38"/>
  <c r="E13" i="38"/>
  <c r="S12" i="38"/>
  <c r="P12" i="38"/>
  <c r="H12" i="38"/>
  <c r="G12" i="38"/>
  <c r="E12" i="38"/>
  <c r="T12" i="38" s="1"/>
  <c r="C21" i="37" s="1"/>
  <c r="B21" i="37" s="1"/>
  <c r="S11" i="38"/>
  <c r="T11" i="38" s="1"/>
  <c r="C20" i="37" s="1"/>
  <c r="B20" i="37" s="1"/>
  <c r="R11" i="38"/>
  <c r="P11" i="38"/>
  <c r="H11" i="38"/>
  <c r="E11" i="38"/>
  <c r="S10" i="38"/>
  <c r="P10" i="38"/>
  <c r="H10" i="38"/>
  <c r="E10" i="38"/>
  <c r="T10" i="38" s="1"/>
  <c r="C19" i="37" s="1"/>
  <c r="B19" i="37" s="1"/>
  <c r="R9" i="38"/>
  <c r="R18" i="38" s="1"/>
  <c r="R19" i="38" s="1"/>
  <c r="Q9" i="38"/>
  <c r="Q18" i="38" s="1"/>
  <c r="O9" i="38"/>
  <c r="N9" i="38"/>
  <c r="M9" i="38"/>
  <c r="L9" i="38"/>
  <c r="K9" i="38"/>
  <c r="J9" i="38"/>
  <c r="I9" i="38"/>
  <c r="I18" i="38" s="1"/>
  <c r="G9" i="38"/>
  <c r="G18" i="38" s="1"/>
  <c r="G19" i="38" s="1"/>
  <c r="F9" i="38"/>
  <c r="F18" i="38" s="1"/>
  <c r="C9" i="38"/>
  <c r="S8" i="38"/>
  <c r="P8" i="38"/>
  <c r="H8" i="38"/>
  <c r="E8" i="38"/>
  <c r="T8" i="38" s="1"/>
  <c r="C15" i="37" s="1"/>
  <c r="B15" i="37" s="1"/>
  <c r="D8" i="38"/>
  <c r="D9" i="38" s="1"/>
  <c r="S7" i="38"/>
  <c r="P7" i="38"/>
  <c r="H7" i="38"/>
  <c r="T7" i="38" s="1"/>
  <c r="C13" i="37" s="1"/>
  <c r="B13" i="37" s="1"/>
  <c r="E7" i="38"/>
  <c r="C9" i="37"/>
  <c r="C10" i="37"/>
  <c r="C11" i="37"/>
  <c r="B11" i="37" s="1"/>
  <c r="C12" i="37"/>
  <c r="B12" i="37" s="1"/>
  <c r="C14" i="37"/>
  <c r="B14" i="37" s="1"/>
  <c r="C16" i="37"/>
  <c r="C17" i="37"/>
  <c r="B17" i="37" s="1"/>
  <c r="C26" i="37"/>
  <c r="B26" i="37" s="1"/>
  <c r="C30" i="37"/>
  <c r="B30" i="37" s="1"/>
  <c r="C32" i="37"/>
  <c r="B32" i="37" s="1"/>
  <c r="C34" i="37"/>
  <c r="C35" i="37"/>
  <c r="B35" i="37" s="1"/>
  <c r="C36" i="37"/>
  <c r="B36" i="37" s="1"/>
  <c r="C39" i="37"/>
  <c r="C40" i="37"/>
  <c r="C41" i="37"/>
  <c r="B41" i="37" s="1"/>
  <c r="C43" i="37"/>
  <c r="B43" i="37" s="1"/>
  <c r="C44" i="37"/>
  <c r="B44" i="37" s="1"/>
  <c r="C46" i="37"/>
  <c r="B46" i="37" s="1"/>
  <c r="C47" i="37"/>
  <c r="B47" i="37" s="1"/>
  <c r="C49" i="37"/>
  <c r="B49" i="37" s="1"/>
  <c r="C50" i="37"/>
  <c r="B50" i="37" s="1"/>
  <c r="C51" i="37"/>
  <c r="B51" i="37" s="1"/>
  <c r="C52" i="37"/>
  <c r="C53" i="37"/>
  <c r="B53" i="37" s="1"/>
  <c r="C54" i="37"/>
  <c r="B54" i="37" s="1"/>
  <c r="C55" i="37"/>
  <c r="B55" i="37" s="1"/>
  <c r="C56" i="37"/>
  <c r="B56" i="37" s="1"/>
  <c r="C57" i="37"/>
  <c r="B57" i="37" s="1"/>
  <c r="C58" i="37"/>
  <c r="C59" i="37"/>
  <c r="B59" i="37" s="1"/>
  <c r="C60" i="37"/>
  <c r="B60" i="37" s="1"/>
  <c r="C61" i="37"/>
  <c r="B61" i="37" s="1"/>
  <c r="C62" i="37"/>
  <c r="B62" i="37" s="1"/>
  <c r="C63" i="37"/>
  <c r="C64" i="37"/>
  <c r="B64" i="37" s="1"/>
  <c r="C65" i="37"/>
  <c r="B65" i="37" s="1"/>
  <c r="C66" i="37"/>
  <c r="B66" i="37" s="1"/>
  <c r="C67" i="37"/>
  <c r="B67" i="37" s="1"/>
  <c r="C68" i="37"/>
  <c r="B68" i="37" s="1"/>
  <c r="C69" i="37"/>
  <c r="B69" i="37" s="1"/>
  <c r="C70" i="37"/>
  <c r="C71" i="37"/>
  <c r="B71" i="37" s="1"/>
  <c r="C72" i="37"/>
  <c r="C73" i="37"/>
  <c r="B73" i="37" s="1"/>
  <c r="C74" i="37"/>
  <c r="B74" i="37" s="1"/>
  <c r="C75" i="37"/>
  <c r="B75" i="37" s="1"/>
  <c r="C76" i="37"/>
  <c r="C77" i="37"/>
  <c r="B77" i="37" s="1"/>
  <c r="C78" i="37"/>
  <c r="B78" i="37" s="1"/>
  <c r="C80" i="37"/>
  <c r="B80" i="37" s="1"/>
  <c r="C81" i="37"/>
  <c r="B81" i="37" s="1"/>
  <c r="C82" i="37"/>
  <c r="B82" i="37" s="1"/>
  <c r="C83" i="37"/>
  <c r="B83" i="37" s="1"/>
  <c r="C84" i="37"/>
  <c r="B84" i="37" s="1"/>
  <c r="C85" i="37"/>
  <c r="B85" i="37" s="1"/>
  <c r="C86" i="37"/>
  <c r="B86" i="37" s="1"/>
  <c r="C87" i="37"/>
  <c r="B87" i="37" s="1"/>
  <c r="C88" i="37"/>
  <c r="B88" i="37" s="1"/>
  <c r="C90" i="37"/>
  <c r="B90" i="37" s="1"/>
  <c r="C92" i="37"/>
  <c r="B92" i="37" s="1"/>
  <c r="C93" i="37"/>
  <c r="C94" i="37"/>
  <c r="B94" i="37" s="1"/>
  <c r="C95" i="37"/>
  <c r="B95" i="37" s="1"/>
  <c r="C96" i="37"/>
  <c r="B96" i="37" s="1"/>
  <c r="C97" i="37"/>
  <c r="B97" i="37" s="1"/>
  <c r="C98" i="37"/>
  <c r="B98" i="37" s="1"/>
  <c r="C100" i="37"/>
  <c r="B100" i="37" s="1"/>
  <c r="C101" i="37"/>
  <c r="B101" i="37" s="1"/>
  <c r="C102" i="37"/>
  <c r="B102" i="37" s="1"/>
  <c r="C104" i="37"/>
  <c r="B104" i="37" s="1"/>
  <c r="C105" i="37"/>
  <c r="C106" i="37"/>
  <c r="B106" i="37" s="1"/>
  <c r="C107" i="37"/>
  <c r="B107" i="37" s="1"/>
  <c r="C108" i="37"/>
  <c r="B108" i="37" s="1"/>
  <c r="C109" i="37"/>
  <c r="B109" i="37" s="1"/>
  <c r="C110" i="37"/>
  <c r="B110" i="37" s="1"/>
  <c r="C111" i="37"/>
  <c r="B111" i="37" s="1"/>
  <c r="C112" i="37"/>
  <c r="B112" i="37" s="1"/>
  <c r="C113" i="37"/>
  <c r="B113" i="37" s="1"/>
  <c r="C114" i="37"/>
  <c r="B114" i="37" s="1"/>
  <c r="C115" i="37"/>
  <c r="B115" i="37" s="1"/>
  <c r="C116" i="37"/>
  <c r="B116" i="37" s="1"/>
  <c r="C117" i="37"/>
  <c r="B117" i="37" s="1"/>
  <c r="C8" i="37"/>
  <c r="B8" i="37" s="1"/>
  <c r="A9" i="37" a="1"/>
  <c r="A9" i="37" s="1"/>
  <c r="B9" i="37"/>
  <c r="A10" i="37" a="1"/>
  <c r="A10" i="37" s="1"/>
  <c r="B10" i="37"/>
  <c r="A11" i="37" a="1"/>
  <c r="A11" i="37" s="1"/>
  <c r="A12" i="37" a="1"/>
  <c r="A12" i="37" s="1"/>
  <c r="A13" i="37" a="1"/>
  <c r="A13" i="37" s="1"/>
  <c r="A14" i="37" a="1"/>
  <c r="A14" i="37" s="1"/>
  <c r="A15" i="37" a="1"/>
  <c r="A15" i="37" s="1"/>
  <c r="A16" i="37" a="1"/>
  <c r="A16" i="37" s="1"/>
  <c r="B16" i="37"/>
  <c r="A17" i="37" a="1"/>
  <c r="A17" i="37" s="1"/>
  <c r="A18" i="37" a="1"/>
  <c r="A18" i="37" s="1"/>
  <c r="A19" i="37" a="1"/>
  <c r="A19" i="37" s="1"/>
  <c r="A20" i="37" a="1"/>
  <c r="A20" i="37" s="1"/>
  <c r="A21" i="37" a="1"/>
  <c r="A21" i="37" s="1"/>
  <c r="A22" i="37" a="1"/>
  <c r="A22" i="37" s="1"/>
  <c r="A23" i="37" a="1"/>
  <c r="A23" i="37" s="1"/>
  <c r="A24" i="37" a="1"/>
  <c r="A24" i="37" s="1"/>
  <c r="A25" i="37" a="1"/>
  <c r="A25" i="37" s="1"/>
  <c r="A26" i="37" a="1"/>
  <c r="A26" i="37" s="1"/>
  <c r="A27" i="37" a="1"/>
  <c r="A27" i="37" s="1"/>
  <c r="A28" i="37" a="1"/>
  <c r="A28" i="37" s="1"/>
  <c r="A29" i="37" a="1"/>
  <c r="A29" i="37" s="1"/>
  <c r="A30" i="37" a="1"/>
  <c r="A30" i="37" s="1"/>
  <c r="A31" i="37" a="1"/>
  <c r="A31" i="37" s="1"/>
  <c r="A32" i="37" a="1"/>
  <c r="A32" i="37" s="1"/>
  <c r="A33" i="37" a="1"/>
  <c r="A33" i="37" s="1"/>
  <c r="A34" i="37" a="1"/>
  <c r="A34" i="37" s="1"/>
  <c r="B34" i="37"/>
  <c r="A35" i="37" a="1"/>
  <c r="A35" i="37" s="1"/>
  <c r="A36" i="37" a="1"/>
  <c r="A36" i="37" s="1"/>
  <c r="A37" i="37" a="1"/>
  <c r="A37" i="37" s="1"/>
  <c r="A38" i="37" a="1"/>
  <c r="A38" i="37" s="1"/>
  <c r="A39" i="37" a="1"/>
  <c r="A39" i="37" s="1"/>
  <c r="B39" i="37"/>
  <c r="A40" i="37" a="1"/>
  <c r="A40" i="37" s="1"/>
  <c r="B40" i="37"/>
  <c r="A41" i="37" a="1"/>
  <c r="A41" i="37" s="1"/>
  <c r="A42" i="37" a="1"/>
  <c r="A42" i="37" s="1"/>
  <c r="A43" i="37" a="1"/>
  <c r="A43" i="37" s="1"/>
  <c r="A44" i="37" a="1"/>
  <c r="A44" i="37" s="1"/>
  <c r="A45" i="37" a="1"/>
  <c r="A45" i="37" s="1"/>
  <c r="A46" i="37" a="1"/>
  <c r="A46" i="37" s="1"/>
  <c r="A47" i="37" a="1"/>
  <c r="A47" i="37" s="1"/>
  <c r="A48" i="37" a="1"/>
  <c r="A48" i="37" s="1"/>
  <c r="A49" i="37" a="1"/>
  <c r="A49" i="37" s="1"/>
  <c r="A50" i="37" a="1"/>
  <c r="A50" i="37" s="1"/>
  <c r="A51" i="37" a="1"/>
  <c r="A51" i="37" s="1"/>
  <c r="A52" i="37" a="1"/>
  <c r="A52" i="37" s="1"/>
  <c r="B52" i="37"/>
  <c r="A53" i="37" a="1"/>
  <c r="A53" i="37" s="1"/>
  <c r="A55" i="37" a="1"/>
  <c r="A55" i="37" s="1"/>
  <c r="A56" i="37" a="1"/>
  <c r="A56" i="37" s="1"/>
  <c r="A57" i="37" a="1"/>
  <c r="A57" i="37" s="1"/>
  <c r="A58" i="37" a="1"/>
  <c r="A58" i="37" s="1"/>
  <c r="B58" i="37"/>
  <c r="A59" i="37" a="1"/>
  <c r="A59" i="37" s="1"/>
  <c r="A60" i="37" a="1"/>
  <c r="A60" i="37" s="1"/>
  <c r="A61" i="37" a="1"/>
  <c r="A61" i="37" s="1"/>
  <c r="A62" i="37" a="1"/>
  <c r="A62" i="37" s="1"/>
  <c r="A63" i="37" a="1"/>
  <c r="A63" i="37" s="1"/>
  <c r="B63" i="37"/>
  <c r="A64" i="37" a="1"/>
  <c r="A64" i="37" s="1"/>
  <c r="A65" i="37" a="1"/>
  <c r="A65" i="37" s="1"/>
  <c r="A66" i="37" a="1"/>
  <c r="A66" i="37" s="1"/>
  <c r="A67" i="37" a="1"/>
  <c r="A67" i="37" s="1"/>
  <c r="A68" i="37" a="1"/>
  <c r="A68" i="37" s="1"/>
  <c r="A69" i="37" a="1"/>
  <c r="A69" i="37" s="1"/>
  <c r="A70" i="37" a="1"/>
  <c r="A70" i="37" s="1"/>
  <c r="B70" i="37"/>
  <c r="A71" i="37" a="1"/>
  <c r="A71" i="37" s="1"/>
  <c r="A72" i="37" a="1"/>
  <c r="A72" i="37" s="1"/>
  <c r="B72" i="37"/>
  <c r="A73" i="37" a="1"/>
  <c r="A73" i="37" s="1"/>
  <c r="A74" i="37" a="1"/>
  <c r="A74" i="37" s="1"/>
  <c r="A75" i="37" a="1"/>
  <c r="A75" i="37" s="1"/>
  <c r="A76" i="37" a="1"/>
  <c r="A76" i="37" s="1"/>
  <c r="B76" i="37"/>
  <c r="A77" i="37" a="1"/>
  <c r="A77" i="37" s="1"/>
  <c r="A78" i="37" a="1"/>
  <c r="A78" i="37" s="1"/>
  <c r="A79" i="37" a="1"/>
  <c r="A79" i="37" s="1"/>
  <c r="A80" i="37" a="1"/>
  <c r="A80" i="37" s="1"/>
  <c r="A81" i="37" a="1"/>
  <c r="A81" i="37" s="1"/>
  <c r="A82" i="37" a="1"/>
  <c r="A82" i="37" s="1"/>
  <c r="A83" i="37" a="1"/>
  <c r="A83" i="37" s="1"/>
  <c r="A84" i="37" a="1"/>
  <c r="A84" i="37" s="1"/>
  <c r="A85" i="37" a="1"/>
  <c r="A85" i="37" s="1"/>
  <c r="A86" i="37" a="1"/>
  <c r="A86" i="37" s="1"/>
  <c r="A87" i="37" a="1"/>
  <c r="A87" i="37" s="1"/>
  <c r="A88" i="37" a="1"/>
  <c r="A88" i="37" s="1"/>
  <c r="A89" i="37" a="1"/>
  <c r="A89" i="37" s="1"/>
  <c r="A90" i="37" a="1"/>
  <c r="A90" i="37" s="1"/>
  <c r="A91" i="37" a="1"/>
  <c r="A91" i="37" s="1"/>
  <c r="A92" i="37" a="1"/>
  <c r="A92" i="37" s="1"/>
  <c r="A93" i="37" a="1"/>
  <c r="A93" i="37" s="1"/>
  <c r="B93" i="37"/>
  <c r="A94" i="37" a="1"/>
  <c r="A94" i="37" s="1"/>
  <c r="A95" i="37" a="1"/>
  <c r="A95" i="37" s="1"/>
  <c r="A96" i="37" a="1"/>
  <c r="A96" i="37" s="1"/>
  <c r="A97" i="37" a="1"/>
  <c r="A97" i="37" s="1"/>
  <c r="A98" i="37" a="1"/>
  <c r="A98" i="37" s="1"/>
  <c r="A99" i="37" a="1"/>
  <c r="A99" i="37" s="1"/>
  <c r="A100" i="37" a="1"/>
  <c r="A100" i="37" s="1"/>
  <c r="A101" i="37" a="1"/>
  <c r="A101" i="37" s="1"/>
  <c r="A102" i="37" a="1"/>
  <c r="A102" i="37" s="1"/>
  <c r="A103" i="37" a="1"/>
  <c r="A103" i="37" s="1"/>
  <c r="A104" i="37" a="1"/>
  <c r="A104" i="37" s="1"/>
  <c r="A105" i="37" a="1"/>
  <c r="A105" i="37" s="1"/>
  <c r="B105" i="37"/>
  <c r="A106" i="37" a="1"/>
  <c r="A106" i="37" s="1"/>
  <c r="A107" i="37" a="1"/>
  <c r="A107" i="37" s="1"/>
  <c r="A108" i="37" a="1"/>
  <c r="A108" i="37" s="1"/>
  <c r="A109" i="37" a="1"/>
  <c r="A109" i="37" s="1"/>
  <c r="A110" i="37" a="1"/>
  <c r="A110" i="37" s="1"/>
  <c r="A111" i="37" a="1"/>
  <c r="A111" i="37" s="1"/>
  <c r="A112" i="37" a="1"/>
  <c r="A112" i="37" s="1"/>
  <c r="A113" i="37" a="1"/>
  <c r="A113" i="37" s="1"/>
  <c r="A114" i="37" a="1"/>
  <c r="A114" i="37" s="1"/>
  <c r="A115" i="37" a="1"/>
  <c r="A115" i="37" s="1"/>
  <c r="A116" i="37" a="1"/>
  <c r="A116" i="37" s="1"/>
  <c r="A117" i="37" a="1"/>
  <c r="A117" i="37" s="1"/>
  <c r="A118" i="37" a="1"/>
  <c r="A118" i="37" s="1"/>
  <c r="A119" i="37" a="1"/>
  <c r="A119" i="37" s="1"/>
  <c r="A120" i="37" a="1"/>
  <c r="A120" i="37" s="1"/>
  <c r="A121" i="37" a="1"/>
  <c r="A121" i="37" s="1"/>
  <c r="A122" i="37" a="1"/>
  <c r="A122" i="37" s="1"/>
  <c r="A123" i="37" a="1"/>
  <c r="A123" i="37" s="1"/>
  <c r="E119" i="37"/>
  <c r="E120" i="37" s="1"/>
  <c r="E116" i="37"/>
  <c r="E117" i="37" s="1"/>
  <c r="E113" i="37"/>
  <c r="E112" i="37"/>
  <c r="E111" i="37"/>
  <c r="E109" i="37"/>
  <c r="E114" i="37" s="1"/>
  <c r="E108" i="37"/>
  <c r="E107" i="37"/>
  <c r="E106" i="37"/>
  <c r="E105" i="37"/>
  <c r="E102" i="37"/>
  <c r="E100" i="37"/>
  <c r="E99" i="37"/>
  <c r="E98" i="37"/>
  <c r="E97" i="37"/>
  <c r="E95" i="37"/>
  <c r="E94" i="37"/>
  <c r="E103" i="37" s="1"/>
  <c r="E93" i="37"/>
  <c r="E92" i="37"/>
  <c r="E88" i="37"/>
  <c r="E87" i="37"/>
  <c r="E86" i="37"/>
  <c r="E85" i="37"/>
  <c r="E83" i="37"/>
  <c r="E82" i="37"/>
  <c r="E81" i="37"/>
  <c r="E80" i="37"/>
  <c r="E89" i="37" s="1"/>
  <c r="E77" i="37"/>
  <c r="E76" i="37"/>
  <c r="E75" i="37"/>
  <c r="E74" i="37"/>
  <c r="E73" i="37"/>
  <c r="E72" i="37"/>
  <c r="E71" i="37"/>
  <c r="E70" i="37"/>
  <c r="E69" i="37"/>
  <c r="E68" i="37"/>
  <c r="E67" i="37"/>
  <c r="E66" i="37"/>
  <c r="E64" i="37"/>
  <c r="E63" i="37"/>
  <c r="E62" i="37"/>
  <c r="E61" i="37"/>
  <c r="E78" i="37" s="1"/>
  <c r="E58" i="37"/>
  <c r="E57" i="37"/>
  <c r="E56" i="37"/>
  <c r="E54" i="37"/>
  <c r="E53" i="37"/>
  <c r="E55" i="37" s="1"/>
  <c r="E59" i="37" s="1"/>
  <c r="E52" i="37"/>
  <c r="E51" i="37"/>
  <c r="E47" i="37"/>
  <c r="E45" i="37"/>
  <c r="E44" i="37"/>
  <c r="E43" i="37"/>
  <c r="E42" i="37"/>
  <c r="E41" i="37"/>
  <c r="E40" i="37"/>
  <c r="E38" i="37"/>
  <c r="E37" i="37"/>
  <c r="E35" i="37"/>
  <c r="E34" i="37"/>
  <c r="E33" i="37"/>
  <c r="E32" i="37"/>
  <c r="E48" i="37" s="1"/>
  <c r="E25" i="37"/>
  <c r="E24" i="37"/>
  <c r="E23" i="37"/>
  <c r="E22" i="37"/>
  <c r="E27" i="37" s="1"/>
  <c r="E21" i="37"/>
  <c r="E20" i="37"/>
  <c r="E15" i="37"/>
  <c r="E14" i="37"/>
  <c r="E18" i="37" s="1"/>
  <c r="E11" i="37"/>
  <c r="E10" i="37"/>
  <c r="E8" i="37"/>
  <c r="E12" i="37" s="1"/>
  <c r="N27" i="41"/>
  <c r="M27" i="41"/>
  <c r="L27" i="41"/>
  <c r="J27" i="41"/>
  <c r="I27" i="41"/>
  <c r="H27" i="41"/>
  <c r="N26" i="41"/>
  <c r="M26" i="41"/>
  <c r="L26" i="41"/>
  <c r="J26" i="41"/>
  <c r="I26" i="41"/>
  <c r="H26" i="41"/>
  <c r="N25" i="41"/>
  <c r="M25" i="41"/>
  <c r="L25" i="41"/>
  <c r="J25" i="41"/>
  <c r="I25" i="41"/>
  <c r="H25" i="41"/>
  <c r="N24" i="41"/>
  <c r="M24" i="41"/>
  <c r="L24" i="41"/>
  <c r="J24" i="41"/>
  <c r="I24" i="41"/>
  <c r="H24" i="41"/>
  <c r="N23" i="41"/>
  <c r="M23" i="41"/>
  <c r="L23" i="41"/>
  <c r="J23" i="41"/>
  <c r="I23" i="41"/>
  <c r="H23" i="41"/>
  <c r="N22" i="41"/>
  <c r="M22" i="41"/>
  <c r="L22" i="41"/>
  <c r="J22" i="41"/>
  <c r="I22" i="41"/>
  <c r="H22" i="41"/>
  <c r="N21" i="41"/>
  <c r="M21" i="41"/>
  <c r="L21" i="41"/>
  <c r="J21" i="41"/>
  <c r="I21" i="41"/>
  <c r="H21" i="41"/>
  <c r="N20" i="41"/>
  <c r="M20" i="41"/>
  <c r="L20" i="41"/>
  <c r="J20" i="41"/>
  <c r="I20" i="41"/>
  <c r="H20" i="41"/>
  <c r="N19" i="41"/>
  <c r="M19" i="41"/>
  <c r="L19" i="41"/>
  <c r="J19" i="41"/>
  <c r="I19" i="41"/>
  <c r="H19" i="41"/>
  <c r="N18" i="41"/>
  <c r="M18" i="41"/>
  <c r="L18" i="41"/>
  <c r="J18" i="41"/>
  <c r="I18" i="41"/>
  <c r="H18" i="41"/>
  <c r="N17" i="41"/>
  <c r="M17" i="41"/>
  <c r="L17" i="41"/>
  <c r="J17" i="41"/>
  <c r="I17" i="41"/>
  <c r="H17" i="41"/>
  <c r="N16" i="41"/>
  <c r="M16" i="41"/>
  <c r="L16" i="41"/>
  <c r="J16" i="41"/>
  <c r="I16" i="41"/>
  <c r="H16" i="41"/>
  <c r="N15" i="41"/>
  <c r="M15" i="41"/>
  <c r="L15" i="41"/>
  <c r="J15" i="41"/>
  <c r="I15" i="41"/>
  <c r="H15" i="41"/>
  <c r="N14" i="41"/>
  <c r="M14" i="41"/>
  <c r="L14" i="41"/>
  <c r="J14" i="41"/>
  <c r="I14" i="41"/>
  <c r="H14" i="41"/>
  <c r="N13" i="41"/>
  <c r="M13" i="41"/>
  <c r="L13" i="41"/>
  <c r="J13" i="41"/>
  <c r="I13" i="41"/>
  <c r="H13" i="41"/>
  <c r="N12" i="41"/>
  <c r="M12" i="41"/>
  <c r="L12" i="41"/>
  <c r="J12" i="41"/>
  <c r="I12" i="41"/>
  <c r="H12" i="41"/>
  <c r="N11" i="41"/>
  <c r="M11" i="41"/>
  <c r="L11" i="41"/>
  <c r="J11" i="41"/>
  <c r="I11" i="41"/>
  <c r="H11" i="41"/>
  <c r="N10" i="41"/>
  <c r="M10" i="41"/>
  <c r="L10" i="41"/>
  <c r="J10" i="41"/>
  <c r="I10" i="41"/>
  <c r="H10" i="41"/>
  <c r="N9" i="41"/>
  <c r="M9" i="41"/>
  <c r="L9" i="41"/>
  <c r="J9" i="41"/>
  <c r="I9" i="41"/>
  <c r="H9" i="41"/>
  <c r="N8" i="41"/>
  <c r="M8" i="41"/>
  <c r="L8" i="41"/>
  <c r="J8" i="41"/>
  <c r="I8" i="41"/>
  <c r="H8" i="41"/>
  <c r="N7" i="41"/>
  <c r="M7" i="41"/>
  <c r="L7" i="41"/>
  <c r="J7" i="41"/>
  <c r="I7" i="41"/>
  <c r="H7" i="41"/>
  <c r="N6" i="41"/>
  <c r="M6" i="41"/>
  <c r="L6" i="41"/>
  <c r="J6" i="41"/>
  <c r="I6" i="41"/>
  <c r="H6" i="41"/>
  <c r="N5" i="41"/>
  <c r="M5" i="41"/>
  <c r="L5" i="41"/>
  <c r="K5" i="41"/>
  <c r="J5" i="41"/>
  <c r="I5" i="41"/>
  <c r="H5" i="41"/>
  <c r="O4" i="41"/>
  <c r="N4" i="41"/>
  <c r="M4" i="41"/>
  <c r="L4" i="41"/>
  <c r="J4" i="41"/>
  <c r="I4" i="41"/>
  <c r="H4" i="41"/>
  <c r="N3" i="41"/>
  <c r="M3" i="41"/>
  <c r="L3" i="41"/>
  <c r="J3" i="41"/>
  <c r="I3" i="41"/>
  <c r="H3" i="41"/>
  <c r="N2" i="41"/>
  <c r="M2" i="41"/>
  <c r="L2" i="41"/>
  <c r="J2" i="41"/>
  <c r="I2" i="41"/>
  <c r="H2" i="41"/>
  <c r="AH38" i="32"/>
  <c r="AH39" i="32" s="1"/>
  <c r="AH41" i="32"/>
  <c r="AH34" i="32"/>
  <c r="AD40" i="32"/>
  <c r="AD38" i="32"/>
  <c r="M16" i="35"/>
  <c r="G8" i="40"/>
  <c r="G9" i="40"/>
  <c r="G10" i="40"/>
  <c r="G11" i="40"/>
  <c r="G12" i="40"/>
  <c r="G13" i="40"/>
  <c r="G14" i="40"/>
  <c r="G15" i="40"/>
  <c r="AA15" i="40" s="1"/>
  <c r="C20" i="39" s="1"/>
  <c r="B20" i="39" s="1"/>
  <c r="G16" i="40"/>
  <c r="G17" i="40"/>
  <c r="G18" i="40"/>
  <c r="G19" i="40"/>
  <c r="G20" i="40"/>
  <c r="G21" i="40"/>
  <c r="G22" i="40"/>
  <c r="G23" i="40"/>
  <c r="G24" i="40"/>
  <c r="G25" i="40"/>
  <c r="G26" i="40"/>
  <c r="G27" i="40"/>
  <c r="G28" i="40"/>
  <c r="G29" i="40"/>
  <c r="G30" i="40"/>
  <c r="G31" i="40"/>
  <c r="AA31" i="40" s="1"/>
  <c r="G32" i="40"/>
  <c r="G33" i="40"/>
  <c r="G34" i="40"/>
  <c r="G35" i="40"/>
  <c r="G36" i="40"/>
  <c r="G37" i="40"/>
  <c r="G38" i="40"/>
  <c r="G39" i="40"/>
  <c r="AA39" i="40" s="1"/>
  <c r="C55" i="39" s="1"/>
  <c r="B55" i="39" s="1"/>
  <c r="G40" i="40"/>
  <c r="G41" i="40"/>
  <c r="G42" i="40"/>
  <c r="G43" i="40"/>
  <c r="G44" i="40"/>
  <c r="G45" i="40"/>
  <c r="G46" i="40"/>
  <c r="AA46" i="40" s="1"/>
  <c r="C64" i="39" s="1"/>
  <c r="B64" i="39" s="1"/>
  <c r="G47" i="40"/>
  <c r="G48" i="40"/>
  <c r="G49" i="40"/>
  <c r="G50" i="40"/>
  <c r="G51" i="40"/>
  <c r="G52" i="40"/>
  <c r="G53" i="40"/>
  <c r="G54" i="40"/>
  <c r="AA54" i="40" s="1"/>
  <c r="C74" i="39" s="1"/>
  <c r="G55" i="40"/>
  <c r="G56" i="40"/>
  <c r="G57" i="40"/>
  <c r="G58" i="40"/>
  <c r="G59" i="40"/>
  <c r="G60" i="40"/>
  <c r="G61" i="40"/>
  <c r="G62" i="40"/>
  <c r="AA62" i="40" s="1"/>
  <c r="C117" i="39" s="1"/>
  <c r="B117" i="39" s="1"/>
  <c r="G63" i="40"/>
  <c r="G64" i="40"/>
  <c r="G65" i="40"/>
  <c r="G66" i="40"/>
  <c r="G67" i="40"/>
  <c r="G68" i="40"/>
  <c r="G69" i="40"/>
  <c r="G70" i="40"/>
  <c r="G71" i="40"/>
  <c r="G72" i="40"/>
  <c r="G73" i="40"/>
  <c r="AH9" i="32"/>
  <c r="AH10" i="32"/>
  <c r="AH12" i="32"/>
  <c r="AH13" i="32"/>
  <c r="AH16" i="32"/>
  <c r="AH17" i="32"/>
  <c r="AH18" i="32"/>
  <c r="AH19" i="32"/>
  <c r="AH22" i="32"/>
  <c r="AH26" i="32"/>
  <c r="AH27" i="32"/>
  <c r="AH29" i="32"/>
  <c r="AH30" i="32"/>
  <c r="AH31" i="32"/>
  <c r="AH32" i="32"/>
  <c r="AH33" i="32"/>
  <c r="AD10" i="32"/>
  <c r="AD12" i="32"/>
  <c r="AD13" i="32"/>
  <c r="AD16" i="32"/>
  <c r="AD17" i="32"/>
  <c r="AD19" i="32"/>
  <c r="AD29" i="32"/>
  <c r="AD30" i="32"/>
  <c r="AD31" i="32"/>
  <c r="AD32" i="32"/>
  <c r="AH7" i="32"/>
  <c r="V22" i="32"/>
  <c r="C9" i="39"/>
  <c r="C10" i="39"/>
  <c r="C11" i="39"/>
  <c r="C12" i="39"/>
  <c r="B12" i="39" s="1"/>
  <c r="AD9" i="32" s="1"/>
  <c r="C25" i="39"/>
  <c r="C28" i="39"/>
  <c r="B28" i="39" s="1"/>
  <c r="C33" i="39"/>
  <c r="C35" i="39"/>
  <c r="C36" i="39"/>
  <c r="C38" i="39"/>
  <c r="C40" i="39"/>
  <c r="C43" i="39"/>
  <c r="B43" i="39" s="1"/>
  <c r="C44" i="39"/>
  <c r="C46" i="39"/>
  <c r="C47" i="39"/>
  <c r="C48" i="39"/>
  <c r="C49" i="39"/>
  <c r="C50" i="39"/>
  <c r="C51" i="39"/>
  <c r="B51" i="39" s="1"/>
  <c r="C56" i="39"/>
  <c r="C58" i="39"/>
  <c r="C59" i="39"/>
  <c r="B59" i="39" s="1"/>
  <c r="C67" i="39"/>
  <c r="B67" i="39" s="1"/>
  <c r="C69" i="39"/>
  <c r="C75" i="39"/>
  <c r="B75" i="39" s="1"/>
  <c r="C76" i="39"/>
  <c r="B76" i="39" s="1"/>
  <c r="C77" i="39"/>
  <c r="C78" i="39"/>
  <c r="C79" i="39"/>
  <c r="C80" i="39"/>
  <c r="C81" i="39"/>
  <c r="C82" i="39"/>
  <c r="C83" i="39"/>
  <c r="C84" i="39"/>
  <c r="C85" i="39"/>
  <c r="C86" i="39"/>
  <c r="C87" i="39"/>
  <c r="C90" i="39"/>
  <c r="C91" i="39"/>
  <c r="C92" i="39"/>
  <c r="C93" i="39"/>
  <c r="C94" i="39"/>
  <c r="C95" i="39"/>
  <c r="C96" i="39"/>
  <c r="C97" i="39"/>
  <c r="C99" i="39"/>
  <c r="C100" i="39"/>
  <c r="C101" i="39"/>
  <c r="C102" i="39"/>
  <c r="C103" i="39"/>
  <c r="C104" i="39"/>
  <c r="C107" i="39"/>
  <c r="B107" i="39" s="1"/>
  <c r="V32" i="32" s="1"/>
  <c r="C108" i="39"/>
  <c r="C109" i="39"/>
  <c r="C110" i="39"/>
  <c r="C111" i="39"/>
  <c r="C112" i="39"/>
  <c r="C113" i="39"/>
  <c r="C115" i="39"/>
  <c r="B115" i="39" s="1"/>
  <c r="C118" i="39"/>
  <c r="C119" i="39"/>
  <c r="C120" i="39"/>
  <c r="C121" i="39"/>
  <c r="C122" i="39"/>
  <c r="C123" i="39"/>
  <c r="B123" i="39" s="1"/>
  <c r="C125" i="39"/>
  <c r="C129" i="39"/>
  <c r="B129" i="39" s="1"/>
  <c r="C130" i="39"/>
  <c r="B130" i="39" s="1"/>
  <c r="C131" i="39"/>
  <c r="C132" i="39"/>
  <c r="B132" i="39" s="1"/>
  <c r="C133" i="39"/>
  <c r="B133" i="39" s="1"/>
  <c r="C134" i="39"/>
  <c r="B134" i="39" s="1"/>
  <c r="C135" i="39"/>
  <c r="B135" i="39" s="1"/>
  <c r="C136" i="39"/>
  <c r="B136" i="39" s="1"/>
  <c r="C138" i="39"/>
  <c r="B138" i="39" s="1"/>
  <c r="C139" i="39"/>
  <c r="B139" i="39" s="1"/>
  <c r="C140" i="39"/>
  <c r="B140" i="39" s="1"/>
  <c r="C141" i="39"/>
  <c r="C142" i="39"/>
  <c r="C8" i="39"/>
  <c r="B8" i="39" s="1"/>
  <c r="AD7" i="32" s="1"/>
  <c r="A9" i="39" a="1"/>
  <c r="A9" i="39"/>
  <c r="B9" i="39"/>
  <c r="A10" i="39" a="1"/>
  <c r="A10" i="39"/>
  <c r="A11" i="39" a="1"/>
  <c r="A11" i="39"/>
  <c r="B11" i="39"/>
  <c r="A12" i="39" a="1"/>
  <c r="A12" i="39"/>
  <c r="A13" i="39" a="1"/>
  <c r="A13" i="39"/>
  <c r="A14" i="39" a="1"/>
  <c r="A14" i="39"/>
  <c r="A15" i="39" a="1"/>
  <c r="A15" i="39" s="1"/>
  <c r="B15" i="39"/>
  <c r="A16" i="39" a="1"/>
  <c r="A16" i="39" s="1"/>
  <c r="A17" i="39" a="1"/>
  <c r="A17" i="39" s="1"/>
  <c r="A18" i="39" a="1"/>
  <c r="A18" i="39" s="1"/>
  <c r="A19" i="39" a="1"/>
  <c r="A19" i="39" s="1"/>
  <c r="A20" i="39" a="1"/>
  <c r="A20" i="39" s="1"/>
  <c r="A21" i="39" a="1"/>
  <c r="A21" i="39" s="1"/>
  <c r="A22" i="39" a="1"/>
  <c r="A22" i="39" s="1"/>
  <c r="A23" i="39" a="1"/>
  <c r="A23" i="39" s="1"/>
  <c r="A24" i="39" a="1"/>
  <c r="A24" i="39" s="1"/>
  <c r="A25" i="39" a="1"/>
  <c r="A25" i="39" s="1"/>
  <c r="B25" i="39"/>
  <c r="A26" i="39" a="1"/>
  <c r="A26" i="39" s="1"/>
  <c r="A27" i="39" a="1"/>
  <c r="A27" i="39" s="1"/>
  <c r="A28" i="39" a="1"/>
  <c r="A28" i="39" s="1"/>
  <c r="A29" i="39" a="1"/>
  <c r="A29" i="39" s="1"/>
  <c r="A30" i="39" a="1"/>
  <c r="A30" i="39" s="1"/>
  <c r="A31" i="39" a="1"/>
  <c r="A31" i="39" s="1"/>
  <c r="A32" i="39" a="1"/>
  <c r="A32" i="39" s="1"/>
  <c r="B32" i="39"/>
  <c r="A33" i="39" a="1"/>
  <c r="A33" i="39" s="1"/>
  <c r="B33" i="39"/>
  <c r="A34" i="39" a="1"/>
  <c r="A34" i="39" s="1"/>
  <c r="A35" i="39" a="1"/>
  <c r="A35" i="39" s="1"/>
  <c r="B35" i="39"/>
  <c r="A36" i="39" a="1"/>
  <c r="A36" i="39" s="1"/>
  <c r="B36" i="39"/>
  <c r="AD18" i="32" s="1"/>
  <c r="A37" i="39" a="1"/>
  <c r="A37" i="39" s="1"/>
  <c r="A38" i="39" a="1"/>
  <c r="A38" i="39" s="1"/>
  <c r="T18" i="32" s="1"/>
  <c r="B38" i="39"/>
  <c r="A39" i="39" a="1"/>
  <c r="A39" i="39" s="1"/>
  <c r="A40" i="39" a="1"/>
  <c r="A40" i="39" s="1"/>
  <c r="B40" i="39"/>
  <c r="A41" i="39" a="1"/>
  <c r="A41" i="39" s="1"/>
  <c r="A42" i="39" a="1"/>
  <c r="A42" i="39" s="1"/>
  <c r="A43" i="39" a="1"/>
  <c r="A43" i="39" s="1"/>
  <c r="A44" i="39" a="1"/>
  <c r="A44" i="39" s="1"/>
  <c r="B44" i="39"/>
  <c r="A45" i="39" a="1"/>
  <c r="A45" i="39" s="1"/>
  <c r="A46" i="39" a="1"/>
  <c r="A46" i="39" s="1"/>
  <c r="B46" i="39"/>
  <c r="A47" i="39" a="1"/>
  <c r="A47" i="39" s="1"/>
  <c r="B47" i="39"/>
  <c r="A48" i="39" a="1"/>
  <c r="A48" i="39" s="1"/>
  <c r="B48" i="39"/>
  <c r="A49" i="39" a="1"/>
  <c r="A49" i="39" s="1"/>
  <c r="B49" i="39"/>
  <c r="A50" i="39" a="1"/>
  <c r="A50" i="39" s="1"/>
  <c r="B50" i="39"/>
  <c r="A51" i="39" a="1"/>
  <c r="A51" i="39" s="1"/>
  <c r="A52" i="39" a="1"/>
  <c r="A52" i="39" s="1"/>
  <c r="A53" i="39" a="1"/>
  <c r="A53" i="39" s="1"/>
  <c r="B53" i="39"/>
  <c r="A54" i="39" a="1"/>
  <c r="A54" i="39" s="1"/>
  <c r="A55" i="39" a="1"/>
  <c r="A55" i="39" s="1"/>
  <c r="A56" i="39" a="1"/>
  <c r="A56" i="39" s="1"/>
  <c r="B56" i="39"/>
  <c r="A57" i="39" a="1"/>
  <c r="A57" i="39" s="1"/>
  <c r="A58" i="39" a="1"/>
  <c r="A58" i="39" s="1"/>
  <c r="B58" i="39"/>
  <c r="A59" i="39" a="1"/>
  <c r="A59" i="39" s="1"/>
  <c r="A60" i="39" a="1"/>
  <c r="A60" i="39" s="1"/>
  <c r="A61" i="39" a="1"/>
  <c r="A61" i="39" s="1"/>
  <c r="A62" i="39" a="1"/>
  <c r="A62" i="39" s="1"/>
  <c r="A63" i="39" a="1"/>
  <c r="A63" i="39" s="1"/>
  <c r="A64" i="39" a="1"/>
  <c r="A64" i="39" s="1"/>
  <c r="A65" i="39" a="1"/>
  <c r="A65" i="39" s="1"/>
  <c r="A66" i="39" a="1"/>
  <c r="A66" i="39" s="1"/>
  <c r="A67" i="39" a="1"/>
  <c r="A67" i="39" s="1"/>
  <c r="A68" i="39" a="1"/>
  <c r="A68" i="39" s="1"/>
  <c r="A69" i="39" a="1"/>
  <c r="A69" i="39" s="1"/>
  <c r="B69" i="39"/>
  <c r="A70" i="39" a="1"/>
  <c r="A70" i="39" s="1"/>
  <c r="A71" i="39" a="1"/>
  <c r="A71" i="39" s="1"/>
  <c r="A72" i="39" a="1"/>
  <c r="A72" i="39" s="1"/>
  <c r="A73" i="39" a="1"/>
  <c r="A73" i="39" s="1"/>
  <c r="A74" i="39" a="1"/>
  <c r="A74" i="39" s="1"/>
  <c r="A75" i="39" a="1"/>
  <c r="A75" i="39" s="1"/>
  <c r="A76" i="39" a="1"/>
  <c r="A76" i="39" s="1"/>
  <c r="A77" i="39" a="1"/>
  <c r="A77" i="39" s="1"/>
  <c r="B77" i="39"/>
  <c r="A78" i="39" a="1"/>
  <c r="A78" i="39" s="1"/>
  <c r="B78" i="39"/>
  <c r="A79" i="39" a="1"/>
  <c r="A79" i="39" s="1"/>
  <c r="A80" i="39" a="1"/>
  <c r="A80" i="39" s="1"/>
  <c r="B80" i="39"/>
  <c r="A81" i="39" a="1"/>
  <c r="A81" i="39" s="1"/>
  <c r="B81" i="39"/>
  <c r="A82" i="39" a="1"/>
  <c r="A82" i="39" s="1"/>
  <c r="B82" i="39"/>
  <c r="A83" i="39" a="1"/>
  <c r="A83" i="39" s="1"/>
  <c r="B83" i="39"/>
  <c r="A84" i="39" a="1"/>
  <c r="A84" i="39" s="1"/>
  <c r="A85" i="39" a="1"/>
  <c r="A85" i="39" s="1"/>
  <c r="B85" i="39"/>
  <c r="A86" i="39" a="1"/>
  <c r="A86" i="39" s="1"/>
  <c r="B86" i="39"/>
  <c r="A87" i="39" a="1"/>
  <c r="A87" i="39" s="1"/>
  <c r="A88" i="39" a="1"/>
  <c r="A88" i="39" s="1"/>
  <c r="A89" i="39" a="1"/>
  <c r="A89" i="39" s="1"/>
  <c r="A90" i="39" a="1"/>
  <c r="A90" i="39" s="1"/>
  <c r="B90" i="39"/>
  <c r="V15" i="32" s="1"/>
  <c r="A91" i="39" a="1"/>
  <c r="A91" i="39" s="1"/>
  <c r="B91" i="39"/>
  <c r="V16" i="32" s="1"/>
  <c r="A92" i="39" a="1"/>
  <c r="A92" i="39" s="1"/>
  <c r="B92" i="39"/>
  <c r="V17" i="32" s="1"/>
  <c r="A93" i="39" a="1"/>
  <c r="A93" i="39" s="1"/>
  <c r="B93" i="39"/>
  <c r="V18" i="32" s="1"/>
  <c r="A94" i="39" a="1"/>
  <c r="A94" i="39" s="1"/>
  <c r="B94" i="39"/>
  <c r="V19" i="32" s="1"/>
  <c r="A95" i="39" a="1"/>
  <c r="A95" i="39" s="1"/>
  <c r="B95" i="39"/>
  <c r="V20" i="32" s="1"/>
  <c r="A96" i="39" a="1"/>
  <c r="A96" i="39" s="1"/>
  <c r="B96" i="39"/>
  <c r="V21" i="32" s="1"/>
  <c r="A97" i="39" a="1"/>
  <c r="A97" i="39" s="1"/>
  <c r="B97" i="39"/>
  <c r="A98" i="39" a="1"/>
  <c r="A98" i="39" s="1"/>
  <c r="A99" i="39" a="1"/>
  <c r="A99" i="39" s="1"/>
  <c r="B99" i="39"/>
  <c r="V24" i="32" s="1"/>
  <c r="A100" i="39" a="1"/>
  <c r="A100" i="39" s="1"/>
  <c r="B100" i="39"/>
  <c r="A101" i="39" a="1"/>
  <c r="A101" i="39" s="1"/>
  <c r="B101" i="39"/>
  <c r="V26" i="32" s="1"/>
  <c r="A102" i="39" a="1"/>
  <c r="A102" i="39" s="1"/>
  <c r="B102" i="39"/>
  <c r="V27" i="32" s="1"/>
  <c r="A103" i="39" a="1"/>
  <c r="A103" i="39" s="1"/>
  <c r="B103" i="39"/>
  <c r="V28" i="32" s="1"/>
  <c r="A104" i="39" a="1"/>
  <c r="A104" i="39" s="1"/>
  <c r="B104" i="39"/>
  <c r="V29" i="32" s="1"/>
  <c r="A105" i="39" a="1"/>
  <c r="A105" i="39" s="1"/>
  <c r="A106" i="39" a="1"/>
  <c r="A106" i="39" s="1"/>
  <c r="A107" i="39" a="1"/>
  <c r="A107" i="39" s="1"/>
  <c r="A108" i="39" a="1"/>
  <c r="A108" i="39" s="1"/>
  <c r="B108" i="39"/>
  <c r="V33" i="32" s="1"/>
  <c r="A109" i="39" a="1"/>
  <c r="A109" i="39" s="1"/>
  <c r="B109" i="39"/>
  <c r="A110" i="39" a="1"/>
  <c r="A110" i="39" s="1"/>
  <c r="B110" i="39"/>
  <c r="A111" i="39" a="1"/>
  <c r="A111" i="39" s="1"/>
  <c r="B111" i="39"/>
  <c r="A112" i="39" a="1"/>
  <c r="A112" i="39" s="1"/>
  <c r="B112" i="39"/>
  <c r="A113" i="39" a="1"/>
  <c r="A113" i="39" s="1"/>
  <c r="B113" i="39"/>
  <c r="A114" i="39" a="1"/>
  <c r="A114" i="39" s="1"/>
  <c r="A115" i="39" a="1"/>
  <c r="A115" i="39" s="1"/>
  <c r="A116" i="39" a="1"/>
  <c r="A116" i="39" s="1"/>
  <c r="A117" i="39" a="1"/>
  <c r="A117" i="39" s="1"/>
  <c r="A118" i="39" a="1"/>
  <c r="A118" i="39" s="1"/>
  <c r="B118" i="39"/>
  <c r="A119" i="39" a="1"/>
  <c r="A119" i="39" s="1"/>
  <c r="B119" i="39"/>
  <c r="AD26" i="32" s="1"/>
  <c r="A120" i="39" a="1"/>
  <c r="A120" i="39" s="1"/>
  <c r="B120" i="39"/>
  <c r="A121" i="39" a="1"/>
  <c r="A121" i="39" s="1"/>
  <c r="B121" i="39"/>
  <c r="A122" i="39" a="1"/>
  <c r="A122" i="39" s="1"/>
  <c r="B122" i="39"/>
  <c r="A123" i="39" a="1"/>
  <c r="A123" i="39" s="1"/>
  <c r="A124" i="39" a="1"/>
  <c r="A124" i="39" s="1"/>
  <c r="A125" i="39" a="1"/>
  <c r="A125" i="39" s="1"/>
  <c r="B125" i="39"/>
  <c r="A126" i="39" a="1"/>
  <c r="A126" i="39" s="1"/>
  <c r="A127" i="39" a="1"/>
  <c r="A127" i="39" s="1"/>
  <c r="A128" i="39" a="1"/>
  <c r="A128" i="39" s="1"/>
  <c r="A129" i="39" a="1"/>
  <c r="A129" i="39" s="1"/>
  <c r="A130" i="39" a="1"/>
  <c r="A130" i="39" s="1"/>
  <c r="A131" i="39" a="1"/>
  <c r="A131" i="39" s="1"/>
  <c r="B131" i="39"/>
  <c r="A132" i="39" a="1"/>
  <c r="A132" i="39" s="1"/>
  <c r="A133" i="39" a="1"/>
  <c r="A133" i="39" s="1"/>
  <c r="A134" i="39" a="1"/>
  <c r="A134" i="39" s="1"/>
  <c r="A135" i="39" a="1"/>
  <c r="A135" i="39" s="1"/>
  <c r="A136" i="39" a="1"/>
  <c r="A136" i="39" s="1"/>
  <c r="A137" i="39" a="1"/>
  <c r="A137" i="39" s="1"/>
  <c r="A138" i="39" a="1"/>
  <c r="A138" i="39" s="1"/>
  <c r="A139" i="39" a="1"/>
  <c r="A139" i="39" s="1"/>
  <c r="A140" i="39" a="1"/>
  <c r="A140" i="39" s="1"/>
  <c r="A141" i="39" a="1"/>
  <c r="A141" i="39" s="1"/>
  <c r="A142" i="39" a="1"/>
  <c r="A142" i="39" s="1"/>
  <c r="B142" i="39"/>
  <c r="A143" i="39" a="1"/>
  <c r="A143" i="39" s="1"/>
  <c r="A144" i="39" a="1"/>
  <c r="A144" i="39" s="1"/>
  <c r="A145" i="39" a="1"/>
  <c r="A145" i="39" s="1"/>
  <c r="A146" i="39" a="1"/>
  <c r="A146" i="39" s="1"/>
  <c r="A147" i="39" a="1"/>
  <c r="A147" i="39" s="1"/>
  <c r="A9" i="40" a="1"/>
  <c r="A9" i="40" s="1"/>
  <c r="A10" i="40" a="1"/>
  <c r="A10" i="40" s="1"/>
  <c r="A11" i="40" a="1"/>
  <c r="A11" i="40" s="1"/>
  <c r="A12" i="40" a="1"/>
  <c r="A12" i="40" s="1"/>
  <c r="A13" i="40" a="1"/>
  <c r="A13" i="40" s="1"/>
  <c r="A14" i="40" a="1"/>
  <c r="A14" i="40" s="1"/>
  <c r="A15" i="40" a="1"/>
  <c r="A15" i="40" s="1"/>
  <c r="A16" i="40" a="1"/>
  <c r="A16" i="40" s="1"/>
  <c r="A17" i="40" a="1"/>
  <c r="A17" i="40" s="1"/>
  <c r="A18" i="40" a="1"/>
  <c r="A18" i="40" s="1"/>
  <c r="A19" i="40" a="1"/>
  <c r="A19" i="40" s="1"/>
  <c r="A20" i="40" a="1"/>
  <c r="A20" i="40" s="1"/>
  <c r="A21" i="40" a="1"/>
  <c r="A21" i="40" s="1"/>
  <c r="A22" i="40" a="1"/>
  <c r="A22" i="40" s="1"/>
  <c r="A23" i="40" a="1"/>
  <c r="A23" i="40" s="1"/>
  <c r="A24" i="40" a="1"/>
  <c r="A24" i="40" s="1"/>
  <c r="A25" i="40" a="1"/>
  <c r="A25" i="40" s="1"/>
  <c r="A26" i="40" a="1"/>
  <c r="A26" i="40" s="1"/>
  <c r="A27" i="40" a="1"/>
  <c r="A27" i="40" s="1"/>
  <c r="A28" i="40" a="1"/>
  <c r="A28" i="40" s="1"/>
  <c r="A29" i="40" a="1"/>
  <c r="A29" i="40" s="1"/>
  <c r="A30" i="40" a="1"/>
  <c r="A30" i="40" s="1"/>
  <c r="A31" i="40" a="1"/>
  <c r="A31" i="40" s="1"/>
  <c r="A32" i="40" a="1"/>
  <c r="A32" i="40" s="1"/>
  <c r="A33" i="40" a="1"/>
  <c r="A33" i="40" s="1"/>
  <c r="A34" i="40" a="1"/>
  <c r="A34" i="40" s="1"/>
  <c r="A35" i="40" a="1"/>
  <c r="A35" i="40" s="1"/>
  <c r="A36" i="40" a="1"/>
  <c r="A36" i="40" s="1"/>
  <c r="A37" i="40" a="1"/>
  <c r="A37" i="40" s="1"/>
  <c r="A38" i="40" a="1"/>
  <c r="A38" i="40" s="1"/>
  <c r="A39" i="40" a="1"/>
  <c r="A39" i="40" s="1"/>
  <c r="A40" i="40" a="1"/>
  <c r="A40" i="40" s="1"/>
  <c r="A41" i="40" a="1"/>
  <c r="A41" i="40" s="1"/>
  <c r="A42" i="40" a="1"/>
  <c r="A42" i="40" s="1"/>
  <c r="A43" i="40" a="1"/>
  <c r="A43" i="40" s="1"/>
  <c r="A44" i="40" a="1"/>
  <c r="A44" i="40" s="1"/>
  <c r="A45" i="40" a="1"/>
  <c r="A45" i="40" s="1"/>
  <c r="A46" i="40" a="1"/>
  <c r="A46" i="40" s="1"/>
  <c r="A47" i="40" a="1"/>
  <c r="A47" i="40" s="1"/>
  <c r="A48" i="40" a="1"/>
  <c r="A48" i="40" s="1"/>
  <c r="A49" i="40" a="1"/>
  <c r="A49" i="40" s="1"/>
  <c r="A50" i="40" a="1"/>
  <c r="A50" i="40" s="1"/>
  <c r="A51" i="40" a="1"/>
  <c r="A51" i="40" s="1"/>
  <c r="A52" i="40" a="1"/>
  <c r="A52" i="40" s="1"/>
  <c r="A53" i="40" a="1"/>
  <c r="A53" i="40" s="1"/>
  <c r="A54" i="40" a="1"/>
  <c r="A54" i="40" s="1"/>
  <c r="A55" i="40" a="1"/>
  <c r="A55" i="40" s="1"/>
  <c r="A56" i="40" a="1"/>
  <c r="A56" i="40" s="1"/>
  <c r="A57" i="40" a="1"/>
  <c r="A57" i="40" s="1"/>
  <c r="A58" i="40" a="1"/>
  <c r="A58" i="40" s="1"/>
  <c r="A59" i="40" a="1"/>
  <c r="A59" i="40" s="1"/>
  <c r="A60" i="40" a="1"/>
  <c r="A60" i="40" s="1"/>
  <c r="A61" i="40" a="1"/>
  <c r="A61" i="40" s="1"/>
  <c r="A62" i="40" a="1"/>
  <c r="A62" i="40" s="1"/>
  <c r="A63" i="40" a="1"/>
  <c r="A63" i="40" s="1"/>
  <c r="A64" i="40" a="1"/>
  <c r="A64" i="40" s="1"/>
  <c r="A65" i="40" a="1"/>
  <c r="A65" i="40" s="1"/>
  <c r="A66" i="40" a="1"/>
  <c r="A66" i="40" s="1"/>
  <c r="A67" i="40" a="1"/>
  <c r="A67" i="40" s="1"/>
  <c r="A68" i="40" a="1"/>
  <c r="A68" i="40" s="1"/>
  <c r="A69" i="40" a="1"/>
  <c r="A69" i="40" s="1"/>
  <c r="A70" i="40" a="1"/>
  <c r="A70" i="40" s="1"/>
  <c r="A71" i="40" a="1"/>
  <c r="A71" i="40" s="1"/>
  <c r="A72" i="40" a="1"/>
  <c r="A72" i="40" s="1"/>
  <c r="A73" i="40" a="1"/>
  <c r="A73" i="40" s="1"/>
  <c r="Y70" i="40"/>
  <c r="X70" i="40"/>
  <c r="Z70" i="40" s="1"/>
  <c r="W70" i="40"/>
  <c r="V70" i="40"/>
  <c r="U70" i="40"/>
  <c r="T70" i="40"/>
  <c r="S70" i="40"/>
  <c r="R70" i="40"/>
  <c r="Q70" i="40"/>
  <c r="P70" i="40"/>
  <c r="O70" i="40"/>
  <c r="N70" i="40"/>
  <c r="M70" i="40"/>
  <c r="L70" i="40"/>
  <c r="K70" i="40"/>
  <c r="J70" i="40"/>
  <c r="I70" i="40"/>
  <c r="H70" i="40"/>
  <c r="AA70" i="40"/>
  <c r="C144" i="39" s="1"/>
  <c r="Z69" i="40"/>
  <c r="W69" i="40"/>
  <c r="O69" i="40"/>
  <c r="I69" i="40"/>
  <c r="AA69" i="40"/>
  <c r="C143" i="39" s="1"/>
  <c r="B143" i="39" s="1"/>
  <c r="AD33" i="32" s="1"/>
  <c r="Z68" i="40"/>
  <c r="W68" i="40"/>
  <c r="O68" i="40"/>
  <c r="AA68" i="40"/>
  <c r="Y67" i="40"/>
  <c r="X67" i="40"/>
  <c r="Z67" i="40" s="1"/>
  <c r="V67" i="40"/>
  <c r="U67" i="40"/>
  <c r="T67" i="40"/>
  <c r="S67" i="40"/>
  <c r="R67" i="40"/>
  <c r="Q67" i="40"/>
  <c r="P67" i="40"/>
  <c r="W67" i="40" s="1"/>
  <c r="N67" i="40"/>
  <c r="M67" i="40"/>
  <c r="L67" i="40"/>
  <c r="K67" i="40"/>
  <c r="J67" i="40"/>
  <c r="I67" i="40"/>
  <c r="H67" i="40"/>
  <c r="O67" i="40" s="1"/>
  <c r="Z66" i="40"/>
  <c r="W66" i="40"/>
  <c r="S66" i="40"/>
  <c r="O66" i="40"/>
  <c r="AA66" i="40"/>
  <c r="C128" i="39" s="1"/>
  <c r="B128" i="39" s="1"/>
  <c r="Z65" i="40"/>
  <c r="AA65" i="40" s="1"/>
  <c r="C127" i="39" s="1"/>
  <c r="B127" i="39" s="1"/>
  <c r="W65" i="40"/>
  <c r="O65" i="40"/>
  <c r="X64" i="40"/>
  <c r="W64" i="40"/>
  <c r="V64" i="40"/>
  <c r="U64" i="40"/>
  <c r="T64" i="40"/>
  <c r="S64" i="40"/>
  <c r="R64" i="40"/>
  <c r="Q64" i="40"/>
  <c r="P64" i="40"/>
  <c r="O64" i="40"/>
  <c r="N64" i="40"/>
  <c r="M64" i="40"/>
  <c r="L64" i="40"/>
  <c r="K64" i="40"/>
  <c r="J64" i="40"/>
  <c r="I64" i="40"/>
  <c r="H64" i="40"/>
  <c r="Y63" i="40"/>
  <c r="Y64" i="40" s="1"/>
  <c r="W63" i="40"/>
  <c r="O63" i="40"/>
  <c r="Z62" i="40"/>
  <c r="W62" i="40"/>
  <c r="O62" i="40"/>
  <c r="Y61" i="40"/>
  <c r="X61" i="40"/>
  <c r="Z61" i="40" s="1"/>
  <c r="V61" i="40"/>
  <c r="U61" i="40"/>
  <c r="T61" i="40"/>
  <c r="S61" i="40"/>
  <c r="R61" i="40"/>
  <c r="Q61" i="40"/>
  <c r="P61" i="40"/>
  <c r="W61" i="40" s="1"/>
  <c r="N61" i="40"/>
  <c r="M61" i="40"/>
  <c r="L61" i="40"/>
  <c r="K61" i="40"/>
  <c r="J61" i="40"/>
  <c r="I61" i="40"/>
  <c r="H61" i="40"/>
  <c r="O61" i="40" s="1"/>
  <c r="Z60" i="40"/>
  <c r="Y60" i="40"/>
  <c r="W60" i="40"/>
  <c r="O60" i="40"/>
  <c r="AA60" i="40"/>
  <c r="Z59" i="40"/>
  <c r="AA59" i="40" s="1"/>
  <c r="C106" i="39" s="1"/>
  <c r="B106" i="39" s="1"/>
  <c r="V31" i="32" s="1"/>
  <c r="W59" i="40"/>
  <c r="O59" i="40"/>
  <c r="Y58" i="40"/>
  <c r="X58" i="40"/>
  <c r="Z58" i="40" s="1"/>
  <c r="W58" i="40"/>
  <c r="V58" i="40"/>
  <c r="U58" i="40"/>
  <c r="T58" i="40"/>
  <c r="S58" i="40"/>
  <c r="R58" i="40"/>
  <c r="Q58" i="40"/>
  <c r="P58" i="40"/>
  <c r="O58" i="40"/>
  <c r="N58" i="40"/>
  <c r="M58" i="40"/>
  <c r="L58" i="40"/>
  <c r="K58" i="40"/>
  <c r="J58" i="40"/>
  <c r="I58" i="40"/>
  <c r="H58" i="40"/>
  <c r="AA58" i="40"/>
  <c r="C105" i="39" s="1"/>
  <c r="Z57" i="40"/>
  <c r="W57" i="40"/>
  <c r="O57" i="40"/>
  <c r="J57" i="40"/>
  <c r="AA57" i="40"/>
  <c r="AH24" i="32" s="1"/>
  <c r="Z56" i="40"/>
  <c r="W56" i="40"/>
  <c r="O56" i="40"/>
  <c r="AA56" i="40"/>
  <c r="C89" i="39" s="1"/>
  <c r="B89" i="39" s="1"/>
  <c r="V14" i="32" s="1"/>
  <c r="Y55" i="40"/>
  <c r="S55" i="40"/>
  <c r="Q55" i="40"/>
  <c r="K55" i="40"/>
  <c r="Z54" i="40"/>
  <c r="Y54" i="40"/>
  <c r="X54" i="40"/>
  <c r="V54" i="40"/>
  <c r="U54" i="40"/>
  <c r="T54" i="40"/>
  <c r="S54" i="40"/>
  <c r="R54" i="40"/>
  <c r="W54" i="40" s="1"/>
  <c r="Q54" i="40"/>
  <c r="P54" i="40"/>
  <c r="N54" i="40"/>
  <c r="M54" i="40"/>
  <c r="L54" i="40"/>
  <c r="K54" i="40"/>
  <c r="J54" i="40"/>
  <c r="O54" i="40" s="1"/>
  <c r="I54" i="40"/>
  <c r="H54" i="40"/>
  <c r="Z53" i="40"/>
  <c r="W53" i="40"/>
  <c r="O53" i="40"/>
  <c r="AA53" i="40"/>
  <c r="C73" i="39" s="1"/>
  <c r="B73" i="39" s="1"/>
  <c r="Z52" i="40"/>
  <c r="W52" i="40"/>
  <c r="O52" i="40"/>
  <c r="AA52" i="40"/>
  <c r="C72" i="39" s="1"/>
  <c r="B72" i="39" s="1"/>
  <c r="Z51" i="40"/>
  <c r="W51" i="40"/>
  <c r="O51" i="40"/>
  <c r="AA51" i="40"/>
  <c r="C71" i="39" s="1"/>
  <c r="B71" i="39" s="1"/>
  <c r="Z50" i="40"/>
  <c r="W50" i="40"/>
  <c r="O50" i="40"/>
  <c r="AA50" i="40"/>
  <c r="C70" i="39" s="1"/>
  <c r="B70" i="39" s="1"/>
  <c r="Z49" i="40"/>
  <c r="W49" i="40"/>
  <c r="O49" i="40"/>
  <c r="AA49" i="40"/>
  <c r="C68" i="39" s="1"/>
  <c r="B68" i="39" s="1"/>
  <c r="Z48" i="40"/>
  <c r="W48" i="40"/>
  <c r="O48" i="40"/>
  <c r="AA48" i="40"/>
  <c r="C66" i="39" s="1"/>
  <c r="B66" i="39" s="1"/>
  <c r="Z47" i="40"/>
  <c r="W47" i="40"/>
  <c r="O47" i="40"/>
  <c r="AA47" i="40"/>
  <c r="C65" i="39" s="1"/>
  <c r="B65" i="39" s="1"/>
  <c r="Z46" i="40"/>
  <c r="W46" i="40"/>
  <c r="O46" i="40"/>
  <c r="Z45" i="40"/>
  <c r="Y45" i="40"/>
  <c r="X45" i="40"/>
  <c r="V45" i="40"/>
  <c r="U45" i="40"/>
  <c r="T45" i="40"/>
  <c r="T55" i="40" s="1"/>
  <c r="S45" i="40"/>
  <c r="R45" i="40"/>
  <c r="W45" i="40" s="1"/>
  <c r="Q45" i="40"/>
  <c r="P45" i="40"/>
  <c r="N45" i="40"/>
  <c r="M45" i="40"/>
  <c r="L45" i="40"/>
  <c r="L55" i="40" s="1"/>
  <c r="K45" i="40"/>
  <c r="J45" i="40"/>
  <c r="H45" i="40"/>
  <c r="Z44" i="40"/>
  <c r="W44" i="40"/>
  <c r="O44" i="40"/>
  <c r="AA44" i="40"/>
  <c r="C62" i="39" s="1"/>
  <c r="B62" i="39" s="1"/>
  <c r="Z43" i="40"/>
  <c r="W43" i="40"/>
  <c r="O43" i="40"/>
  <c r="AA43" i="40"/>
  <c r="C61" i="39" s="1"/>
  <c r="B61" i="39" s="1"/>
  <c r="Z42" i="40"/>
  <c r="W42" i="40"/>
  <c r="O42" i="40"/>
  <c r="AA42" i="40"/>
  <c r="C60" i="39" s="1"/>
  <c r="B60" i="39" s="1"/>
  <c r="Z41" i="40"/>
  <c r="W41" i="40"/>
  <c r="O41" i="40"/>
  <c r="AA41" i="40"/>
  <c r="Z40" i="40"/>
  <c r="W40" i="40"/>
  <c r="O40" i="40"/>
  <c r="AA40" i="40"/>
  <c r="C57" i="39" s="1"/>
  <c r="B57" i="39" s="1"/>
  <c r="Z39" i="40"/>
  <c r="W39" i="40"/>
  <c r="O39" i="40"/>
  <c r="Z38" i="40"/>
  <c r="W38" i="40"/>
  <c r="I38" i="40"/>
  <c r="O38" i="40" s="1"/>
  <c r="AA38" i="40" s="1"/>
  <c r="C54" i="39" s="1"/>
  <c r="B54" i="39" s="1"/>
  <c r="Z37" i="40"/>
  <c r="W37" i="40"/>
  <c r="O37" i="40"/>
  <c r="AA37" i="40" s="1"/>
  <c r="C53" i="39" s="1"/>
  <c r="Y36" i="40"/>
  <c r="X36" i="40"/>
  <c r="X55" i="40" s="1"/>
  <c r="Z55" i="40" s="1"/>
  <c r="V36" i="40"/>
  <c r="V55" i="40" s="1"/>
  <c r="U36" i="40"/>
  <c r="U55" i="40" s="1"/>
  <c r="T36" i="40"/>
  <c r="S36" i="40"/>
  <c r="W36" i="40" s="1"/>
  <c r="R36" i="40"/>
  <c r="R55" i="40" s="1"/>
  <c r="Q36" i="40"/>
  <c r="P36" i="40"/>
  <c r="P55" i="40" s="1"/>
  <c r="N36" i="40"/>
  <c r="N55" i="40" s="1"/>
  <c r="M36" i="40"/>
  <c r="M55" i="40" s="1"/>
  <c r="L36" i="40"/>
  <c r="K36" i="40"/>
  <c r="J36" i="40"/>
  <c r="J55" i="40" s="1"/>
  <c r="H36" i="40"/>
  <c r="H55" i="40" s="1"/>
  <c r="Z35" i="40"/>
  <c r="W35" i="40"/>
  <c r="I35" i="40"/>
  <c r="I36" i="40" s="1"/>
  <c r="Z34" i="40"/>
  <c r="W34" i="40"/>
  <c r="O34" i="40"/>
  <c r="AA34" i="40"/>
  <c r="Z33" i="40"/>
  <c r="W33" i="40"/>
  <c r="O33" i="40"/>
  <c r="AA33" i="40"/>
  <c r="Y32" i="40"/>
  <c r="Y71" i="40" s="1"/>
  <c r="X32" i="40"/>
  <c r="Z32" i="40" s="1"/>
  <c r="V32" i="40"/>
  <c r="V71" i="40" s="1"/>
  <c r="S32" i="40"/>
  <c r="S71" i="40" s="1"/>
  <c r="Q32" i="40"/>
  <c r="Q71" i="40" s="1"/>
  <c r="P32" i="40"/>
  <c r="P71" i="40" s="1"/>
  <c r="N32" i="40"/>
  <c r="N71" i="40" s="1"/>
  <c r="L32" i="40"/>
  <c r="L71" i="40" s="1"/>
  <c r="K32" i="40"/>
  <c r="K71" i="40" s="1"/>
  <c r="J32" i="40"/>
  <c r="I32" i="40"/>
  <c r="H32" i="40"/>
  <c r="Z31" i="40"/>
  <c r="W31" i="40"/>
  <c r="O31" i="40"/>
  <c r="Z30" i="40"/>
  <c r="U30" i="40"/>
  <c r="R30" i="40"/>
  <c r="W30" i="40" s="1"/>
  <c r="O30" i="40"/>
  <c r="Z29" i="40"/>
  <c r="W29" i="40"/>
  <c r="O29" i="40"/>
  <c r="AA29" i="40"/>
  <c r="C37" i="39" s="1"/>
  <c r="B37" i="39" s="1"/>
  <c r="Z28" i="40"/>
  <c r="W28" i="40"/>
  <c r="U28" i="40"/>
  <c r="Q28" i="40"/>
  <c r="N28" i="40"/>
  <c r="M28" i="40"/>
  <c r="O28" i="40" s="1"/>
  <c r="AA28" i="40"/>
  <c r="Z27" i="40"/>
  <c r="V27" i="40"/>
  <c r="U27" i="40"/>
  <c r="U32" i="40" s="1"/>
  <c r="T27" i="40"/>
  <c r="R27" i="40"/>
  <c r="R32" i="40" s="1"/>
  <c r="M27" i="40"/>
  <c r="M32" i="40" s="1"/>
  <c r="I27" i="40"/>
  <c r="O27" i="40" s="1"/>
  <c r="Z26" i="40"/>
  <c r="W26" i="40"/>
  <c r="O26" i="40"/>
  <c r="AA26" i="40"/>
  <c r="C32" i="39" s="1"/>
  <c r="Z25" i="40"/>
  <c r="T25" i="40"/>
  <c r="T32" i="40" s="1"/>
  <c r="T71" i="40" s="1"/>
  <c r="O25" i="40"/>
  <c r="Z24" i="40"/>
  <c r="W24" i="40"/>
  <c r="O24" i="40"/>
  <c r="Z23" i="40"/>
  <c r="W23" i="40"/>
  <c r="O23" i="40"/>
  <c r="AA23" i="40"/>
  <c r="C29" i="39" s="1"/>
  <c r="B29" i="39" s="1"/>
  <c r="X20" i="40"/>
  <c r="X21" i="40" s="1"/>
  <c r="P20" i="40"/>
  <c r="P21" i="40" s="1"/>
  <c r="H20" i="40"/>
  <c r="H21" i="40" s="1"/>
  <c r="X19" i="40"/>
  <c r="V19" i="40"/>
  <c r="U19" i="40"/>
  <c r="U20" i="40" s="1"/>
  <c r="U21" i="40" s="1"/>
  <c r="T19" i="40"/>
  <c r="S19" i="40"/>
  <c r="S20" i="40" s="1"/>
  <c r="S21" i="40" s="1"/>
  <c r="S72" i="40" s="1"/>
  <c r="S73" i="40" s="1"/>
  <c r="P19" i="40"/>
  <c r="W19" i="40" s="1"/>
  <c r="L19" i="40"/>
  <c r="K19" i="40"/>
  <c r="K20" i="40" s="1"/>
  <c r="K21" i="40" s="1"/>
  <c r="H19" i="40"/>
  <c r="Z18" i="40"/>
  <c r="W18" i="40"/>
  <c r="L18" i="40"/>
  <c r="K18" i="40"/>
  <c r="J18" i="40"/>
  <c r="J19" i="40" s="1"/>
  <c r="J20" i="40" s="1"/>
  <c r="J21" i="40" s="1"/>
  <c r="I18" i="40"/>
  <c r="I19" i="40" s="1"/>
  <c r="Z17" i="40"/>
  <c r="S17" i="40"/>
  <c r="R17" i="40"/>
  <c r="R19" i="40" s="1"/>
  <c r="R20" i="40" s="1"/>
  <c r="R21" i="40" s="1"/>
  <c r="Q17" i="40"/>
  <c r="Q19" i="40" s="1"/>
  <c r="O17" i="40"/>
  <c r="Z16" i="40"/>
  <c r="U16" i="40"/>
  <c r="W16" i="40" s="1"/>
  <c r="O16" i="40"/>
  <c r="Z15" i="40"/>
  <c r="W15" i="40"/>
  <c r="V15" i="40"/>
  <c r="O15" i="40"/>
  <c r="Z14" i="40"/>
  <c r="W14" i="40"/>
  <c r="T14" i="40"/>
  <c r="O14" i="40"/>
  <c r="Z13" i="40"/>
  <c r="W13" i="40"/>
  <c r="N13" i="40"/>
  <c r="N19" i="40" s="1"/>
  <c r="Z12" i="40"/>
  <c r="W12" i="40"/>
  <c r="M12" i="40"/>
  <c r="O12" i="40" s="1"/>
  <c r="AA12" i="40"/>
  <c r="C17" i="39" s="1"/>
  <c r="B17" i="39" s="1"/>
  <c r="Y11" i="40"/>
  <c r="Z11" i="40" s="1"/>
  <c r="AA11" i="40" s="1"/>
  <c r="W11" i="40"/>
  <c r="O11" i="40"/>
  <c r="Z10" i="40"/>
  <c r="W10" i="40"/>
  <c r="O10" i="40"/>
  <c r="AA10" i="40"/>
  <c r="C15" i="39" s="1"/>
  <c r="Y9" i="40"/>
  <c r="X9" i="40"/>
  <c r="Z9" i="40" s="1"/>
  <c r="V9" i="40"/>
  <c r="V20" i="40" s="1"/>
  <c r="V21" i="40" s="1"/>
  <c r="V72" i="40" s="1"/>
  <c r="V73" i="40" s="1"/>
  <c r="U9" i="40"/>
  <c r="T9" i="40"/>
  <c r="T20" i="40" s="1"/>
  <c r="T21" i="40" s="1"/>
  <c r="T72" i="40" s="1"/>
  <c r="T73" i="40" s="1"/>
  <c r="S9" i="40"/>
  <c r="R9" i="40"/>
  <c r="Q9" i="40"/>
  <c r="Q20" i="40" s="1"/>
  <c r="Q21" i="40" s="1"/>
  <c r="P9" i="40"/>
  <c r="N9" i="40"/>
  <c r="M9" i="40"/>
  <c r="L9" i="40"/>
  <c r="L20" i="40" s="1"/>
  <c r="L21" i="40" s="1"/>
  <c r="K9" i="40"/>
  <c r="J9" i="40"/>
  <c r="I9" i="40"/>
  <c r="H9" i="40"/>
  <c r="Z8" i="40"/>
  <c r="W8" i="40"/>
  <c r="O8" i="40"/>
  <c r="AA8" i="40"/>
  <c r="C13" i="39" s="1"/>
  <c r="B13" i="39" s="1"/>
  <c r="AD8" i="32" s="1"/>
  <c r="Z7" i="40"/>
  <c r="W7" i="40"/>
  <c r="O7" i="40"/>
  <c r="G7" i="40"/>
  <c r="AA7" i="40" s="1"/>
  <c r="E143" i="39"/>
  <c r="E144" i="39" s="1"/>
  <c r="E140" i="39"/>
  <c r="E139" i="39"/>
  <c r="E141" i="39" s="1"/>
  <c r="E136" i="39"/>
  <c r="E135" i="39"/>
  <c r="E134" i="39"/>
  <c r="E133" i="39"/>
  <c r="E132" i="39"/>
  <c r="E131" i="39"/>
  <c r="E130" i="39"/>
  <c r="E129" i="39"/>
  <c r="E128" i="39"/>
  <c r="E137" i="39" s="1"/>
  <c r="E125" i="39"/>
  <c r="E124" i="39"/>
  <c r="E123" i="39"/>
  <c r="E122" i="39"/>
  <c r="E121" i="39"/>
  <c r="E120" i="39"/>
  <c r="E119" i="39"/>
  <c r="E118" i="39"/>
  <c r="E126" i="39" s="1"/>
  <c r="E115" i="39"/>
  <c r="E114" i="39"/>
  <c r="E113" i="39"/>
  <c r="E112" i="39"/>
  <c r="E111" i="39"/>
  <c r="E110" i="39"/>
  <c r="E109" i="39"/>
  <c r="E108" i="39"/>
  <c r="E107" i="39"/>
  <c r="E116" i="39" s="1"/>
  <c r="E104" i="39"/>
  <c r="E103" i="39"/>
  <c r="E102" i="39"/>
  <c r="E101" i="39"/>
  <c r="E100" i="39"/>
  <c r="E99" i="39"/>
  <c r="E98" i="39"/>
  <c r="E97" i="39"/>
  <c r="E96" i="39"/>
  <c r="E95" i="39"/>
  <c r="E105" i="39" s="1"/>
  <c r="E94" i="39"/>
  <c r="E93" i="39"/>
  <c r="E92" i="39"/>
  <c r="E91" i="39"/>
  <c r="E90" i="39"/>
  <c r="E86" i="39"/>
  <c r="E87" i="39" s="1"/>
  <c r="B87" i="39" s="1"/>
  <c r="E84" i="39"/>
  <c r="E83" i="39"/>
  <c r="E82" i="39"/>
  <c r="E80" i="39"/>
  <c r="E78" i="39"/>
  <c r="E77" i="39"/>
  <c r="E76" i="39"/>
  <c r="E79" i="39" s="1"/>
  <c r="B79" i="39" s="1"/>
  <c r="E73" i="39"/>
  <c r="E72" i="39"/>
  <c r="E71" i="39"/>
  <c r="E70" i="39"/>
  <c r="E69" i="39"/>
  <c r="E68" i="39"/>
  <c r="E67" i="39"/>
  <c r="E66" i="39"/>
  <c r="E74" i="39" s="1"/>
  <c r="E65" i="39"/>
  <c r="E62" i="39"/>
  <c r="E61" i="39"/>
  <c r="E60" i="39"/>
  <c r="E59" i="39"/>
  <c r="E58" i="39"/>
  <c r="E57" i="39"/>
  <c r="E56" i="39"/>
  <c r="E55" i="39"/>
  <c r="E63" i="39" s="1"/>
  <c r="E54" i="39"/>
  <c r="E51" i="39"/>
  <c r="E50" i="39"/>
  <c r="E49" i="39"/>
  <c r="E52" i="39" s="1"/>
  <c r="E48" i="39"/>
  <c r="E47" i="39"/>
  <c r="E46" i="39"/>
  <c r="E45" i="39"/>
  <c r="E41" i="39"/>
  <c r="E40" i="39"/>
  <c r="E39" i="39"/>
  <c r="E38" i="39"/>
  <c r="E37" i="39"/>
  <c r="E36" i="39"/>
  <c r="E35" i="39"/>
  <c r="E34" i="39"/>
  <c r="E33" i="39"/>
  <c r="E32" i="39"/>
  <c r="E31" i="39"/>
  <c r="E42" i="39" s="1"/>
  <c r="E30" i="39"/>
  <c r="E25" i="39"/>
  <c r="E23" i="39"/>
  <c r="E22" i="39"/>
  <c r="E21" i="39"/>
  <c r="E20" i="39"/>
  <c r="E19" i="39"/>
  <c r="E18" i="39"/>
  <c r="E17" i="39"/>
  <c r="E16" i="39"/>
  <c r="E24" i="39" s="1"/>
  <c r="E13" i="39"/>
  <c r="E12" i="39"/>
  <c r="E14" i="39" s="1"/>
  <c r="E10" i="39"/>
  <c r="B10" i="39" s="1"/>
  <c r="E9" i="39"/>
  <c r="E8" i="39"/>
  <c r="A8" i="40" a="1"/>
  <c r="A8" i="40" s="1"/>
  <c r="A8" i="39" a="1"/>
  <c r="A8" i="39" s="1"/>
  <c r="A8" i="38" a="1"/>
  <c r="A8" i="38" s="1"/>
  <c r="A8" i="37" a="1"/>
  <c r="A8" i="37" s="1"/>
  <c r="F149" i="31"/>
  <c r="AK3" i="31"/>
  <c r="AK4" i="31"/>
  <c r="AK5" i="31"/>
  <c r="AK6" i="31"/>
  <c r="AK7" i="31"/>
  <c r="AK8" i="31"/>
  <c r="AJ8" i="31" s="1"/>
  <c r="AK9" i="31"/>
  <c r="AK10" i="31"/>
  <c r="AJ10" i="31" s="1"/>
  <c r="AK11" i="31"/>
  <c r="AK12" i="31"/>
  <c r="AK13" i="31"/>
  <c r="AK14" i="31"/>
  <c r="AK15" i="31"/>
  <c r="AK16" i="31"/>
  <c r="AJ16" i="31" s="1"/>
  <c r="AK17" i="31"/>
  <c r="AK18" i="31"/>
  <c r="AJ18" i="31" s="1"/>
  <c r="AK19" i="31"/>
  <c r="AK20" i="31"/>
  <c r="AK21" i="31"/>
  <c r="AK22" i="31"/>
  <c r="AK23" i="31"/>
  <c r="AK24" i="31"/>
  <c r="AJ24" i="31" s="1"/>
  <c r="AK25" i="31"/>
  <c r="AK26" i="31"/>
  <c r="AJ26" i="31" s="1"/>
  <c r="AK27" i="31"/>
  <c r="AK28" i="31"/>
  <c r="AK29" i="31"/>
  <c r="AK30" i="31"/>
  <c r="AK31" i="31"/>
  <c r="AK32" i="31"/>
  <c r="AJ32" i="31" s="1"/>
  <c r="AK33" i="31"/>
  <c r="AK34" i="31"/>
  <c r="AJ34" i="31" s="1"/>
  <c r="AK35" i="31"/>
  <c r="AK36" i="31"/>
  <c r="AK37" i="31"/>
  <c r="AK38" i="31"/>
  <c r="AK39" i="31"/>
  <c r="AK40" i="31"/>
  <c r="AJ40" i="31" s="1"/>
  <c r="AK41" i="31"/>
  <c r="AK42" i="31"/>
  <c r="AJ42" i="31" s="1"/>
  <c r="AK43" i="31"/>
  <c r="AK44" i="31"/>
  <c r="AK45" i="31"/>
  <c r="AK46" i="31"/>
  <c r="AK47" i="31"/>
  <c r="AK48" i="31"/>
  <c r="AJ48" i="31" s="1"/>
  <c r="AK49" i="31"/>
  <c r="AK50" i="31"/>
  <c r="AJ50" i="31" s="1"/>
  <c r="AK51" i="31"/>
  <c r="AK52" i="31"/>
  <c r="AK53" i="31"/>
  <c r="AK54" i="31"/>
  <c r="AK55" i="31"/>
  <c r="AK56" i="31"/>
  <c r="AJ56" i="31" s="1"/>
  <c r="AK57" i="31"/>
  <c r="AK58" i="31"/>
  <c r="AJ58" i="31" s="1"/>
  <c r="AK59" i="31"/>
  <c r="AK60" i="31"/>
  <c r="AK61" i="31"/>
  <c r="AK62" i="31"/>
  <c r="AK63" i="31"/>
  <c r="AK64" i="31"/>
  <c r="AK65" i="31"/>
  <c r="AK66" i="31"/>
  <c r="AJ66" i="31" s="1"/>
  <c r="AK67" i="31"/>
  <c r="AK68" i="31"/>
  <c r="AK69" i="31"/>
  <c r="AK70" i="31"/>
  <c r="AK71" i="31"/>
  <c r="AK72" i="31"/>
  <c r="AJ72" i="31" s="1"/>
  <c r="AK73" i="31"/>
  <c r="AK74" i="31"/>
  <c r="AJ74" i="31" s="1"/>
  <c r="AK75" i="31"/>
  <c r="AK76" i="31"/>
  <c r="AK77" i="31"/>
  <c r="AK78" i="31"/>
  <c r="AK79" i="31"/>
  <c r="AK80" i="31"/>
  <c r="AJ80" i="31" s="1"/>
  <c r="AK81" i="31"/>
  <c r="AK82" i="31"/>
  <c r="AJ82" i="31" s="1"/>
  <c r="AK83" i="31"/>
  <c r="AK84" i="31"/>
  <c r="AK85" i="31"/>
  <c r="AK86" i="31"/>
  <c r="AK87" i="31"/>
  <c r="AK88" i="31"/>
  <c r="AK89" i="31"/>
  <c r="AK90" i="31"/>
  <c r="AJ90" i="31" s="1"/>
  <c r="AK91" i="31"/>
  <c r="AK92" i="31"/>
  <c r="AK93" i="31"/>
  <c r="AK94" i="31"/>
  <c r="AK95" i="31"/>
  <c r="AK96" i="31"/>
  <c r="AJ96" i="31" s="1"/>
  <c r="AK97" i="31"/>
  <c r="AK98" i="31"/>
  <c r="AJ98" i="31" s="1"/>
  <c r="AK99" i="31"/>
  <c r="AK100" i="31"/>
  <c r="AK101" i="31"/>
  <c r="AK102" i="31"/>
  <c r="AK103" i="31"/>
  <c r="AK104" i="31"/>
  <c r="AJ104" i="31" s="1"/>
  <c r="AK105" i="31"/>
  <c r="AK106" i="31"/>
  <c r="AJ106" i="31" s="1"/>
  <c r="AK107" i="31"/>
  <c r="AK108" i="31"/>
  <c r="AK109" i="31"/>
  <c r="AK110" i="31"/>
  <c r="AK111" i="31"/>
  <c r="AK112" i="31"/>
  <c r="AK113" i="31"/>
  <c r="AK114" i="31"/>
  <c r="AJ114" i="31" s="1"/>
  <c r="AK115" i="31"/>
  <c r="AK116" i="31"/>
  <c r="AK117" i="31"/>
  <c r="AK118" i="31"/>
  <c r="AK119" i="31"/>
  <c r="AK120" i="31"/>
  <c r="AJ120" i="31" s="1"/>
  <c r="AK121" i="31"/>
  <c r="AK122" i="31"/>
  <c r="AJ122" i="31" s="1"/>
  <c r="AK123" i="31"/>
  <c r="AK124" i="31"/>
  <c r="AK125" i="31"/>
  <c r="AK126" i="31"/>
  <c r="AK127" i="31"/>
  <c r="AK128" i="31"/>
  <c r="AK129" i="31"/>
  <c r="AK130" i="31"/>
  <c r="AJ130" i="31" s="1"/>
  <c r="AK131" i="31"/>
  <c r="AK132" i="31"/>
  <c r="AK133" i="31"/>
  <c r="AK134" i="31"/>
  <c r="AK135" i="31"/>
  <c r="AK136" i="31"/>
  <c r="AK137" i="31"/>
  <c r="AK138" i="31"/>
  <c r="AJ138" i="31" s="1"/>
  <c r="AK139" i="31"/>
  <c r="AK140" i="31"/>
  <c r="AK141" i="31"/>
  <c r="AK142" i="31"/>
  <c r="AK143" i="31"/>
  <c r="AK144" i="31"/>
  <c r="AJ144" i="31" s="1"/>
  <c r="AK145" i="31"/>
  <c r="AK146" i="31"/>
  <c r="AJ146" i="31" s="1"/>
  <c r="AK147" i="31"/>
  <c r="AK148" i="31"/>
  <c r="AK149" i="31"/>
  <c r="AK150" i="31"/>
  <c r="AK151" i="31"/>
  <c r="AK152" i="31"/>
  <c r="AK153" i="31"/>
  <c r="AK2" i="31"/>
  <c r="AJ2" i="31" s="1"/>
  <c r="AJ17" i="31"/>
  <c r="AJ25" i="31"/>
  <c r="AJ41" i="31"/>
  <c r="AJ49" i="31"/>
  <c r="AJ57" i="31"/>
  <c r="AJ73" i="31"/>
  <c r="AJ81" i="31"/>
  <c r="AJ89" i="31"/>
  <c r="AJ105" i="31"/>
  <c r="AJ113" i="31"/>
  <c r="AJ121" i="31"/>
  <c r="AJ137" i="31"/>
  <c r="AJ145" i="31"/>
  <c r="AJ141" i="31"/>
  <c r="AJ133" i="31"/>
  <c r="AJ129" i="31"/>
  <c r="AJ125" i="31"/>
  <c r="AJ117" i="31"/>
  <c r="AJ109" i="31"/>
  <c r="AJ101" i="31"/>
  <c r="AJ97" i="31"/>
  <c r="AJ93" i="31"/>
  <c r="AJ85" i="31"/>
  <c r="AJ77" i="31"/>
  <c r="AJ69" i="31"/>
  <c r="AJ65" i="31"/>
  <c r="AJ61" i="31"/>
  <c r="AJ53" i="31"/>
  <c r="AJ45" i="31"/>
  <c r="AJ37" i="31"/>
  <c r="AJ33" i="31"/>
  <c r="AJ29" i="31"/>
  <c r="AJ21" i="31"/>
  <c r="AJ13" i="31"/>
  <c r="AJ9" i="31"/>
  <c r="AJ5" i="31"/>
  <c r="AJ3" i="31"/>
  <c r="AJ4" i="31"/>
  <c r="AJ6" i="31"/>
  <c r="AJ7" i="31"/>
  <c r="AJ11" i="31"/>
  <c r="AJ12" i="31"/>
  <c r="AJ14" i="31"/>
  <c r="AJ15" i="31"/>
  <c r="AJ19" i="31"/>
  <c r="AJ20" i="31"/>
  <c r="AJ22" i="31"/>
  <c r="AJ23" i="31"/>
  <c r="AJ27" i="31"/>
  <c r="AJ28" i="31"/>
  <c r="AJ30" i="31"/>
  <c r="AJ31" i="31"/>
  <c r="AJ35" i="31"/>
  <c r="AJ36" i="31"/>
  <c r="AJ38" i="31"/>
  <c r="AJ39" i="31"/>
  <c r="AJ43" i="31"/>
  <c r="AJ44" i="31"/>
  <c r="AJ46" i="31"/>
  <c r="AJ47" i="31"/>
  <c r="AJ51" i="31"/>
  <c r="AJ52" i="31"/>
  <c r="AJ54" i="31"/>
  <c r="AJ55" i="31"/>
  <c r="AJ59" i="31"/>
  <c r="AJ60" i="31"/>
  <c r="AJ62" i="31"/>
  <c r="AJ63" i="31"/>
  <c r="AJ64" i="31"/>
  <c r="AJ67" i="31"/>
  <c r="AJ68" i="31"/>
  <c r="AJ70" i="31"/>
  <c r="AJ71" i="31"/>
  <c r="AJ75" i="31"/>
  <c r="AJ76" i="31"/>
  <c r="AJ78" i="31"/>
  <c r="AJ79" i="31"/>
  <c r="AJ83" i="31"/>
  <c r="AJ84" i="31"/>
  <c r="AJ86" i="31"/>
  <c r="AJ87" i="31"/>
  <c r="AJ88" i="31"/>
  <c r="AJ91" i="31"/>
  <c r="AJ92" i="31"/>
  <c r="AJ94" i="31"/>
  <c r="AJ95" i="31"/>
  <c r="AJ99" i="31"/>
  <c r="AJ100" i="31"/>
  <c r="AJ102" i="31"/>
  <c r="AJ103" i="31"/>
  <c r="AJ107" i="31"/>
  <c r="AJ108" i="31"/>
  <c r="AJ110" i="31"/>
  <c r="AJ111" i="31"/>
  <c r="AJ112" i="31"/>
  <c r="AJ115" i="31"/>
  <c r="AJ116" i="31"/>
  <c r="AJ118" i="31"/>
  <c r="AJ119" i="31"/>
  <c r="AJ123" i="31"/>
  <c r="AJ124" i="31"/>
  <c r="AJ126" i="31"/>
  <c r="AJ127" i="31"/>
  <c r="AJ128" i="31"/>
  <c r="AJ131" i="31"/>
  <c r="AJ132" i="31"/>
  <c r="AJ134" i="31"/>
  <c r="AJ135" i="31"/>
  <c r="AJ136" i="31"/>
  <c r="AJ139" i="31"/>
  <c r="AJ140" i="31"/>
  <c r="AJ142" i="31"/>
  <c r="AJ143" i="31"/>
  <c r="AJ147" i="31"/>
  <c r="AJ148" i="31"/>
  <c r="AJ154" i="31"/>
  <c r="AJ155" i="31"/>
  <c r="AJ156" i="31"/>
  <c r="AI16" i="32" l="1"/>
  <c r="D18" i="38"/>
  <c r="D19" i="38" s="1"/>
  <c r="D38" i="38" s="1"/>
  <c r="D39" i="38" s="1"/>
  <c r="E9" i="38"/>
  <c r="C38" i="38"/>
  <c r="T23" i="38"/>
  <c r="C37" i="37" s="1"/>
  <c r="B37" i="37" s="1"/>
  <c r="S33" i="38"/>
  <c r="T33" i="38" s="1"/>
  <c r="C103" i="37" s="1"/>
  <c r="B103" i="37" s="1"/>
  <c r="S18" i="38"/>
  <c r="Q19" i="38"/>
  <c r="T26" i="38"/>
  <c r="C45" i="37" s="1"/>
  <c r="B45" i="37" s="1"/>
  <c r="S37" i="38"/>
  <c r="R38" i="38"/>
  <c r="R39" i="38" s="1"/>
  <c r="R37" i="38"/>
  <c r="T24" i="38"/>
  <c r="C38" i="37" s="1"/>
  <c r="B38" i="37" s="1"/>
  <c r="H18" i="38"/>
  <c r="F19" i="38"/>
  <c r="N38" i="38"/>
  <c r="N39" i="38" s="1"/>
  <c r="I19" i="38"/>
  <c r="T16" i="38"/>
  <c r="C25" i="37" s="1"/>
  <c r="B25" i="37" s="1"/>
  <c r="AI22" i="32"/>
  <c r="AI23" i="32"/>
  <c r="AI8" i="32"/>
  <c r="G27" i="38"/>
  <c r="I37" i="38"/>
  <c r="P37" i="38" s="1"/>
  <c r="AI29" i="32"/>
  <c r="AI21" i="32"/>
  <c r="AI13" i="32"/>
  <c r="H9" i="38"/>
  <c r="AI15" i="32"/>
  <c r="AI20" i="32"/>
  <c r="S32" i="38"/>
  <c r="T32" i="38" s="1"/>
  <c r="C99" i="37" s="1"/>
  <c r="B99" i="37" s="1"/>
  <c r="AI30" i="32"/>
  <c r="AI14" i="32"/>
  <c r="AI28" i="32"/>
  <c r="AI19" i="32"/>
  <c r="AI12" i="32"/>
  <c r="S30" i="38"/>
  <c r="T30" i="38" s="1"/>
  <c r="C89" i="37" s="1"/>
  <c r="B89" i="37" s="1"/>
  <c r="S9" i="38"/>
  <c r="AI27" i="32"/>
  <c r="P14" i="38"/>
  <c r="T14" i="38" s="1"/>
  <c r="C23" i="37" s="1"/>
  <c r="B23" i="37" s="1"/>
  <c r="J17" i="38"/>
  <c r="C37" i="38"/>
  <c r="E37" i="38" s="1"/>
  <c r="AI33" i="32"/>
  <c r="AI18" i="32"/>
  <c r="AI11" i="32"/>
  <c r="E18" i="38"/>
  <c r="AI7" i="32"/>
  <c r="AI26" i="32"/>
  <c r="AI10" i="32"/>
  <c r="N16" i="35" s="1"/>
  <c r="O5" i="41" s="1"/>
  <c r="AI32" i="32"/>
  <c r="AI17" i="32"/>
  <c r="P35" i="38"/>
  <c r="T35" i="38" s="1"/>
  <c r="C119" i="37" s="1"/>
  <c r="B119" i="37" s="1"/>
  <c r="AI25" i="32"/>
  <c r="AI9" i="32"/>
  <c r="AI31" i="32"/>
  <c r="AI24" i="32"/>
  <c r="P9" i="38"/>
  <c r="AE9" i="32"/>
  <c r="E121" i="37"/>
  <c r="E28" i="37"/>
  <c r="E29" i="37" s="1"/>
  <c r="AE8" i="32"/>
  <c r="AE10" i="32"/>
  <c r="AE7" i="32"/>
  <c r="AE12" i="32"/>
  <c r="AH15" i="32"/>
  <c r="C114" i="39"/>
  <c r="B114" i="39" s="1"/>
  <c r="AD15" i="32"/>
  <c r="B42" i="39"/>
  <c r="AH25" i="32"/>
  <c r="C41" i="39"/>
  <c r="B41" i="39" s="1"/>
  <c r="AD25" i="32" s="1"/>
  <c r="AH11" i="32"/>
  <c r="V25" i="32"/>
  <c r="AD27" i="32"/>
  <c r="B84" i="39"/>
  <c r="C98" i="39"/>
  <c r="B98" i="39" s="1"/>
  <c r="AD22" i="32"/>
  <c r="AH8" i="32"/>
  <c r="C16" i="39"/>
  <c r="B16" i="39" s="1"/>
  <c r="B63" i="39"/>
  <c r="B74" i="39"/>
  <c r="B141" i="39"/>
  <c r="AA14" i="40"/>
  <c r="C19" i="39" s="1"/>
  <c r="B19" i="39" s="1"/>
  <c r="B52" i="39"/>
  <c r="T33" i="32"/>
  <c r="T25" i="32"/>
  <c r="T17" i="32"/>
  <c r="T32" i="32"/>
  <c r="T24" i="32"/>
  <c r="T16" i="32"/>
  <c r="T31" i="32"/>
  <c r="T23" i="32"/>
  <c r="T15" i="32"/>
  <c r="T34" i="32" s="1"/>
  <c r="U30" i="32" s="1"/>
  <c r="W30" i="32" s="1"/>
  <c r="T30" i="32"/>
  <c r="T22" i="32"/>
  <c r="T14" i="32"/>
  <c r="T29" i="32"/>
  <c r="T21" i="32"/>
  <c r="T28" i="32"/>
  <c r="T20" i="32"/>
  <c r="T27" i="32"/>
  <c r="T19" i="32"/>
  <c r="T13" i="32"/>
  <c r="T26" i="32"/>
  <c r="B144" i="39"/>
  <c r="B105" i="39"/>
  <c r="V30" i="32" s="1"/>
  <c r="B116" i="39"/>
  <c r="B126" i="39"/>
  <c r="N20" i="40"/>
  <c r="N21" i="40" s="1"/>
  <c r="N72" i="40" s="1"/>
  <c r="N73" i="40" s="1"/>
  <c r="Y20" i="40"/>
  <c r="M71" i="40"/>
  <c r="O32" i="40"/>
  <c r="H71" i="40"/>
  <c r="AA61" i="40"/>
  <c r="C116" i="39" s="1"/>
  <c r="AA64" i="40"/>
  <c r="C126" i="39" s="1"/>
  <c r="Q72" i="40"/>
  <c r="Q73" i="40" s="1"/>
  <c r="AA32" i="40"/>
  <c r="C42" i="39" s="1"/>
  <c r="R71" i="40"/>
  <c r="W71" i="40" s="1"/>
  <c r="W32" i="40"/>
  <c r="Z64" i="40"/>
  <c r="I20" i="40"/>
  <c r="I21" i="40" s="1"/>
  <c r="K72" i="40"/>
  <c r="K73" i="40" s="1"/>
  <c r="O21" i="40"/>
  <c r="H72" i="40"/>
  <c r="J71" i="40"/>
  <c r="J72" i="40" s="1"/>
  <c r="J73" i="40" s="1"/>
  <c r="W55" i="40"/>
  <c r="W21" i="40"/>
  <c r="P72" i="40"/>
  <c r="U71" i="40"/>
  <c r="U72" i="40" s="1"/>
  <c r="U73" i="40" s="1"/>
  <c r="AA30" i="40"/>
  <c r="AA67" i="40"/>
  <c r="C137" i="39" s="1"/>
  <c r="B137" i="39" s="1"/>
  <c r="AA16" i="40"/>
  <c r="C21" i="39" s="1"/>
  <c r="B21" i="39" s="1"/>
  <c r="X72" i="40"/>
  <c r="L72" i="40"/>
  <c r="L73" i="40" s="1"/>
  <c r="AA25" i="40"/>
  <c r="O36" i="40"/>
  <c r="AA36" i="40" s="1"/>
  <c r="C52" i="39" s="1"/>
  <c r="W9" i="40"/>
  <c r="O13" i="40"/>
  <c r="AA13" i="40" s="1"/>
  <c r="C18" i="39" s="1"/>
  <c r="B18" i="39" s="1"/>
  <c r="M19" i="40"/>
  <c r="M20" i="40" s="1"/>
  <c r="M21" i="40" s="1"/>
  <c r="M72" i="40" s="1"/>
  <c r="M73" i="40" s="1"/>
  <c r="Z63" i="40"/>
  <c r="AA63" i="40" s="1"/>
  <c r="C124" i="39" s="1"/>
  <c r="B124" i="39" s="1"/>
  <c r="X71" i="40"/>
  <c r="Z71" i="40" s="1"/>
  <c r="O9" i="40"/>
  <c r="W25" i="40"/>
  <c r="O35" i="40"/>
  <c r="AA35" i="40" s="1"/>
  <c r="C45" i="39" s="1"/>
  <c r="B45" i="39" s="1"/>
  <c r="W17" i="40"/>
  <c r="AA17" i="40" s="1"/>
  <c r="C22" i="39" s="1"/>
  <c r="B22" i="39" s="1"/>
  <c r="O18" i="40"/>
  <c r="AA18" i="40" s="1"/>
  <c r="C23" i="39" s="1"/>
  <c r="B23" i="39" s="1"/>
  <c r="W27" i="40"/>
  <c r="AA27" i="40" s="1"/>
  <c r="AA24" i="40"/>
  <c r="W20" i="40"/>
  <c r="Z36" i="40"/>
  <c r="I45" i="40"/>
  <c r="O45" i="40" s="1"/>
  <c r="AA45" i="40" s="1"/>
  <c r="C63" i="39" s="1"/>
  <c r="Y19" i="40"/>
  <c r="Z19" i="40" s="1"/>
  <c r="E26" i="39"/>
  <c r="E88" i="39"/>
  <c r="D132" i="31" a="1"/>
  <c r="D132" i="31" s="1"/>
  <c r="D122" i="31" a="1"/>
  <c r="D122" i="31" s="1"/>
  <c r="D110" i="31" a="1"/>
  <c r="D110" i="31" s="1"/>
  <c r="D94" i="31" a="1"/>
  <c r="D94" i="31" s="1"/>
  <c r="D90" i="31" a="1"/>
  <c r="D90" i="31" s="1"/>
  <c r="D87" i="31" a="1"/>
  <c r="D87" i="31" s="1"/>
  <c r="D77" i="31" a="1"/>
  <c r="D77" i="31" s="1"/>
  <c r="D71" i="31" a="1"/>
  <c r="D71" i="31" s="1"/>
  <c r="D61" i="31" a="1"/>
  <c r="D61" i="31" s="1"/>
  <c r="D51" i="31" a="1"/>
  <c r="D51" i="31" s="1"/>
  <c r="D42" i="31" a="1"/>
  <c r="D42" i="31" s="1"/>
  <c r="B42" i="31"/>
  <c r="B149" i="31"/>
  <c r="B146" i="31"/>
  <c r="B145" i="31"/>
  <c r="B142" i="31"/>
  <c r="B141" i="31"/>
  <c r="B140" i="31"/>
  <c r="B139" i="31"/>
  <c r="B138" i="31"/>
  <c r="B137" i="31"/>
  <c r="B136" i="31"/>
  <c r="B135" i="31"/>
  <c r="B134" i="31"/>
  <c r="B133" i="31"/>
  <c r="B132" i="31"/>
  <c r="B130" i="31"/>
  <c r="B129" i="31"/>
  <c r="B128" i="31"/>
  <c r="B127" i="31"/>
  <c r="B126" i="31"/>
  <c r="B125" i="31"/>
  <c r="B124" i="31"/>
  <c r="B123" i="31"/>
  <c r="B122" i="31"/>
  <c r="B120" i="31"/>
  <c r="B119" i="31"/>
  <c r="B118" i="31"/>
  <c r="B117" i="31"/>
  <c r="B116" i="31"/>
  <c r="B115" i="31"/>
  <c r="B114" i="31"/>
  <c r="B113" i="31"/>
  <c r="B112" i="31"/>
  <c r="B111" i="31"/>
  <c r="B110" i="31"/>
  <c r="B108" i="31"/>
  <c r="B107" i="31"/>
  <c r="B106" i="31"/>
  <c r="B105" i="31"/>
  <c r="B104" i="31"/>
  <c r="B103" i="31"/>
  <c r="B102" i="31"/>
  <c r="B101" i="31"/>
  <c r="B100" i="31"/>
  <c r="B99" i="31"/>
  <c r="B98" i="31"/>
  <c r="B97" i="31"/>
  <c r="B96" i="31"/>
  <c r="B95" i="31"/>
  <c r="B94" i="31"/>
  <c r="B91" i="31"/>
  <c r="B90" i="31"/>
  <c r="B88" i="31"/>
  <c r="B87" i="31"/>
  <c r="B85" i="31"/>
  <c r="B84" i="31"/>
  <c r="B83" i="31"/>
  <c r="B82" i="31"/>
  <c r="B81" i="31"/>
  <c r="B80" i="31"/>
  <c r="B79" i="31"/>
  <c r="B78" i="31"/>
  <c r="B77" i="31"/>
  <c r="B75" i="31"/>
  <c r="B74" i="31"/>
  <c r="B73" i="31"/>
  <c r="B72" i="31"/>
  <c r="B71" i="31"/>
  <c r="B69" i="31"/>
  <c r="B68" i="31"/>
  <c r="B67" i="31"/>
  <c r="B66" i="31"/>
  <c r="B65" i="31"/>
  <c r="B64" i="31"/>
  <c r="B63" i="31"/>
  <c r="B62" i="31"/>
  <c r="B61" i="31"/>
  <c r="B59" i="31"/>
  <c r="B58" i="31"/>
  <c r="B57" i="31"/>
  <c r="B56" i="31"/>
  <c r="B55" i="31"/>
  <c r="B54" i="31"/>
  <c r="B53" i="31"/>
  <c r="B52" i="31"/>
  <c r="B51" i="31"/>
  <c r="B49" i="31"/>
  <c r="B48" i="31"/>
  <c r="B47" i="31"/>
  <c r="B46" i="31"/>
  <c r="B45" i="31"/>
  <c r="B44" i="31"/>
  <c r="B43" i="31"/>
  <c r="B39" i="31"/>
  <c r="B38" i="31"/>
  <c r="B37" i="31"/>
  <c r="B36" i="31"/>
  <c r="B35" i="31"/>
  <c r="B34" i="31"/>
  <c r="B33" i="31"/>
  <c r="B32" i="31"/>
  <c r="B31" i="31"/>
  <c r="B30" i="31"/>
  <c r="B29" i="31"/>
  <c r="B28" i="31"/>
  <c r="B27" i="31"/>
  <c r="B22" i="31"/>
  <c r="B21" i="31"/>
  <c r="B20" i="31"/>
  <c r="B19" i="31"/>
  <c r="B18" i="31"/>
  <c r="B17" i="31"/>
  <c r="B16" i="31"/>
  <c r="B15" i="31"/>
  <c r="B14" i="31"/>
  <c r="B11" i="31"/>
  <c r="B10" i="31"/>
  <c r="B9" i="31"/>
  <c r="B6" i="31"/>
  <c r="B5" i="31"/>
  <c r="B4" i="31"/>
  <c r="B1" i="31"/>
  <c r="V150" i="31"/>
  <c r="U150" i="31"/>
  <c r="S150" i="31"/>
  <c r="R150" i="31"/>
  <c r="Q150" i="31"/>
  <c r="P150" i="31"/>
  <c r="O150" i="31"/>
  <c r="N150" i="31"/>
  <c r="M150" i="31"/>
  <c r="H150" i="31"/>
  <c r="G150" i="31"/>
  <c r="F150" i="31"/>
  <c r="T149" i="31"/>
  <c r="T150" i="31" s="1"/>
  <c r="N149" i="31"/>
  <c r="L149" i="31"/>
  <c r="L150" i="31" s="1"/>
  <c r="K149" i="31"/>
  <c r="K150" i="31" s="1"/>
  <c r="J149" i="31"/>
  <c r="J150" i="31" s="1"/>
  <c r="I149" i="31"/>
  <c r="I150" i="31" s="1"/>
  <c r="H149" i="31"/>
  <c r="W149" i="31"/>
  <c r="X149" i="31" s="1"/>
  <c r="Y149" i="31" s="1"/>
  <c r="AJ149" i="31" s="1"/>
  <c r="W148" i="31"/>
  <c r="X148" i="31" s="1"/>
  <c r="Y148" i="31" s="1"/>
  <c r="V147" i="31"/>
  <c r="U147" i="31"/>
  <c r="T147" i="31"/>
  <c r="S147" i="31"/>
  <c r="R147" i="31"/>
  <c r="Q147" i="31"/>
  <c r="P147" i="31"/>
  <c r="O147" i="31"/>
  <c r="N147" i="31"/>
  <c r="M147" i="31"/>
  <c r="L147" i="31"/>
  <c r="K147" i="31"/>
  <c r="J147" i="31"/>
  <c r="I147" i="31"/>
  <c r="H147" i="31"/>
  <c r="G147" i="31"/>
  <c r="F146" i="31"/>
  <c r="W146" i="31" s="1"/>
  <c r="X146" i="31" s="1"/>
  <c r="Y146" i="31" s="1"/>
  <c r="X145" i="31"/>
  <c r="Y145" i="31" s="1"/>
  <c r="W145" i="31"/>
  <c r="F145" i="31"/>
  <c r="F147" i="31" s="1"/>
  <c r="W147" i="31" s="1"/>
  <c r="X147" i="31" s="1"/>
  <c r="Y147" i="31" s="1"/>
  <c r="W144" i="31"/>
  <c r="X144" i="31" s="1"/>
  <c r="Y144" i="31" s="1"/>
  <c r="V143" i="31"/>
  <c r="U143" i="31"/>
  <c r="T143" i="31"/>
  <c r="S143" i="31"/>
  <c r="R143" i="31"/>
  <c r="Q143" i="31"/>
  <c r="P143" i="31"/>
  <c r="O143" i="31"/>
  <c r="N143" i="31"/>
  <c r="M143" i="31"/>
  <c r="L143" i="31"/>
  <c r="K143" i="31"/>
  <c r="J143" i="31"/>
  <c r="I143" i="31"/>
  <c r="H143" i="31"/>
  <c r="G143" i="31"/>
  <c r="F142" i="31"/>
  <c r="W142" i="31" s="1"/>
  <c r="X142" i="31" s="1"/>
  <c r="Y142" i="31" s="1"/>
  <c r="W141" i="31"/>
  <c r="X141" i="31" s="1"/>
  <c r="Y141" i="31" s="1"/>
  <c r="F140" i="31"/>
  <c r="W140" i="31" s="1"/>
  <c r="X140" i="31" s="1"/>
  <c r="Y140" i="31" s="1"/>
  <c r="F139" i="31"/>
  <c r="W139" i="31" s="1"/>
  <c r="X139" i="31" s="1"/>
  <c r="Y139" i="31" s="1"/>
  <c r="F138" i="31"/>
  <c r="W138" i="31" s="1"/>
  <c r="X138" i="31" s="1"/>
  <c r="Y138" i="31" s="1"/>
  <c r="F137" i="31"/>
  <c r="W137" i="31" s="1"/>
  <c r="X137" i="31" s="1"/>
  <c r="Y137" i="31" s="1"/>
  <c r="F136" i="31"/>
  <c r="W136" i="31" s="1"/>
  <c r="X136" i="31" s="1"/>
  <c r="Y136" i="31" s="1"/>
  <c r="F135" i="31"/>
  <c r="W135" i="31" s="1"/>
  <c r="X135" i="31" s="1"/>
  <c r="Y135" i="31" s="1"/>
  <c r="F134" i="31"/>
  <c r="W134" i="31" s="1"/>
  <c r="X134" i="31" s="1"/>
  <c r="Y134" i="31" s="1"/>
  <c r="F133" i="31"/>
  <c r="F143" i="31" s="1"/>
  <c r="W143" i="31" s="1"/>
  <c r="X143" i="31" s="1"/>
  <c r="Y143" i="31" s="1"/>
  <c r="W132" i="31"/>
  <c r="X132" i="31" s="1"/>
  <c r="Y132" i="31" s="1"/>
  <c r="V131" i="31"/>
  <c r="U131" i="31"/>
  <c r="T131" i="31"/>
  <c r="S131" i="31"/>
  <c r="R131" i="31"/>
  <c r="Q131" i="31"/>
  <c r="P131" i="31"/>
  <c r="O131" i="31"/>
  <c r="N131" i="31"/>
  <c r="M131" i="31"/>
  <c r="L131" i="31"/>
  <c r="J131" i="31"/>
  <c r="I131" i="31"/>
  <c r="H131" i="31"/>
  <c r="F130" i="31"/>
  <c r="W130" i="31" s="1"/>
  <c r="X130" i="31" s="1"/>
  <c r="Y130" i="31" s="1"/>
  <c r="W129" i="31"/>
  <c r="X129" i="31" s="1"/>
  <c r="Y129" i="31" s="1"/>
  <c r="X128" i="31"/>
  <c r="Y128" i="31" s="1"/>
  <c r="W128" i="31"/>
  <c r="F128" i="31"/>
  <c r="G127" i="31"/>
  <c r="W127" i="31" s="1"/>
  <c r="X127" i="31" s="1"/>
  <c r="Y127" i="31" s="1"/>
  <c r="F127" i="31"/>
  <c r="F126" i="31"/>
  <c r="W126" i="31" s="1"/>
  <c r="X126" i="31" s="1"/>
  <c r="Y126" i="31" s="1"/>
  <c r="W125" i="31"/>
  <c r="X125" i="31" s="1"/>
  <c r="Y125" i="31" s="1"/>
  <c r="F125" i="31"/>
  <c r="F124" i="31"/>
  <c r="W124" i="31" s="1"/>
  <c r="X124" i="31" s="1"/>
  <c r="Y124" i="31" s="1"/>
  <c r="K123" i="31"/>
  <c r="K131" i="31" s="1"/>
  <c r="F123" i="31"/>
  <c r="W123" i="31" s="1"/>
  <c r="X123" i="31" s="1"/>
  <c r="Y123" i="31" s="1"/>
  <c r="W122" i="31"/>
  <c r="X122" i="31" s="1"/>
  <c r="Y122" i="31" s="1"/>
  <c r="V121" i="31"/>
  <c r="U121" i="31"/>
  <c r="T121" i="31"/>
  <c r="S121" i="31"/>
  <c r="R121" i="31"/>
  <c r="Q121" i="31"/>
  <c r="P121" i="31"/>
  <c r="O121" i="31"/>
  <c r="N121" i="31"/>
  <c r="M121" i="31"/>
  <c r="L121" i="31"/>
  <c r="K121" i="31"/>
  <c r="J121" i="31"/>
  <c r="I121" i="31"/>
  <c r="H121" i="31"/>
  <c r="G121" i="31"/>
  <c r="F120" i="31"/>
  <c r="W120" i="31" s="1"/>
  <c r="X120" i="31" s="1"/>
  <c r="Y120" i="31" s="1"/>
  <c r="W119" i="31"/>
  <c r="X119" i="31" s="1"/>
  <c r="Y119" i="31" s="1"/>
  <c r="F119" i="31"/>
  <c r="F118" i="31"/>
  <c r="W118" i="31" s="1"/>
  <c r="X118" i="31" s="1"/>
  <c r="Y118" i="31" s="1"/>
  <c r="W117" i="31"/>
  <c r="X117" i="31" s="1"/>
  <c r="Y117" i="31" s="1"/>
  <c r="F117" i="31"/>
  <c r="F116" i="31"/>
  <c r="W116" i="31" s="1"/>
  <c r="X116" i="31" s="1"/>
  <c r="Y116" i="31" s="1"/>
  <c r="W115" i="31"/>
  <c r="X115" i="31" s="1"/>
  <c r="Y115" i="31" s="1"/>
  <c r="F115" i="31"/>
  <c r="F114" i="31"/>
  <c r="W114" i="31" s="1"/>
  <c r="X114" i="31" s="1"/>
  <c r="Y114" i="31" s="1"/>
  <c r="W113" i="31"/>
  <c r="X113" i="31" s="1"/>
  <c r="Y113" i="31" s="1"/>
  <c r="F113" i="31"/>
  <c r="W112" i="31"/>
  <c r="X112" i="31" s="1"/>
  <c r="Y112" i="31" s="1"/>
  <c r="F112" i="31"/>
  <c r="W111" i="31"/>
  <c r="X111" i="31" s="1"/>
  <c r="Y111" i="31" s="1"/>
  <c r="F111" i="31"/>
  <c r="F121" i="31" s="1"/>
  <c r="W121" i="31" s="1"/>
  <c r="X121" i="31" s="1"/>
  <c r="Y121" i="31" s="1"/>
  <c r="W110" i="31"/>
  <c r="X110" i="31" s="1"/>
  <c r="Y110" i="31" s="1"/>
  <c r="V109" i="31"/>
  <c r="U109" i="31"/>
  <c r="T109" i="31"/>
  <c r="S109" i="31"/>
  <c r="R109" i="31"/>
  <c r="Q109" i="31"/>
  <c r="P109" i="31"/>
  <c r="O109" i="31"/>
  <c r="N109" i="31"/>
  <c r="M109" i="31"/>
  <c r="J109" i="31"/>
  <c r="H109" i="31"/>
  <c r="G109" i="31"/>
  <c r="K108" i="31"/>
  <c r="W108" i="31" s="1"/>
  <c r="X108" i="31" s="1"/>
  <c r="Y108" i="31" s="1"/>
  <c r="F108" i="31"/>
  <c r="W107" i="31"/>
  <c r="X107" i="31" s="1"/>
  <c r="Y107" i="31" s="1"/>
  <c r="K107" i="31"/>
  <c r="K109" i="31" s="1"/>
  <c r="F107" i="31"/>
  <c r="F106" i="31"/>
  <c r="W106" i="31" s="1"/>
  <c r="X106" i="31" s="1"/>
  <c r="Y106" i="31" s="1"/>
  <c r="F105" i="31"/>
  <c r="W105" i="31" s="1"/>
  <c r="X105" i="31" s="1"/>
  <c r="Y105" i="31" s="1"/>
  <c r="F104" i="31"/>
  <c r="W104" i="31" s="1"/>
  <c r="X104" i="31" s="1"/>
  <c r="Y104" i="31" s="1"/>
  <c r="F103" i="31"/>
  <c r="W103" i="31" s="1"/>
  <c r="X103" i="31" s="1"/>
  <c r="Y103" i="31" s="1"/>
  <c r="F102" i="31"/>
  <c r="W102" i="31" s="1"/>
  <c r="X102" i="31" s="1"/>
  <c r="Y102" i="31" s="1"/>
  <c r="F101" i="31"/>
  <c r="W101" i="31" s="1"/>
  <c r="X101" i="31" s="1"/>
  <c r="Y101" i="31" s="1"/>
  <c r="I100" i="31"/>
  <c r="I109" i="31" s="1"/>
  <c r="F100" i="31"/>
  <c r="W100" i="31" s="1"/>
  <c r="X100" i="31" s="1"/>
  <c r="Y100" i="31" s="1"/>
  <c r="W99" i="31"/>
  <c r="X99" i="31" s="1"/>
  <c r="Y99" i="31" s="1"/>
  <c r="L99" i="31"/>
  <c r="L98" i="31"/>
  <c r="L109" i="31" s="1"/>
  <c r="F98" i="31"/>
  <c r="W98" i="31" s="1"/>
  <c r="X98" i="31" s="1"/>
  <c r="Y98" i="31" s="1"/>
  <c r="F97" i="31"/>
  <c r="W97" i="31" s="1"/>
  <c r="X97" i="31" s="1"/>
  <c r="Y97" i="31" s="1"/>
  <c r="F96" i="31"/>
  <c r="W96" i="31" s="1"/>
  <c r="X96" i="31" s="1"/>
  <c r="Y96" i="31" s="1"/>
  <c r="F95" i="31"/>
  <c r="W95" i="31" s="1"/>
  <c r="X95" i="31" s="1"/>
  <c r="Y95" i="31" s="1"/>
  <c r="W94" i="31"/>
  <c r="X94" i="31" s="1"/>
  <c r="Y94" i="31" s="1"/>
  <c r="V92" i="31"/>
  <c r="U92" i="31"/>
  <c r="T92" i="31"/>
  <c r="S92" i="31"/>
  <c r="R92" i="31"/>
  <c r="Q92" i="31"/>
  <c r="P92" i="31"/>
  <c r="O92" i="31"/>
  <c r="N92" i="31"/>
  <c r="M92" i="31"/>
  <c r="L92" i="31"/>
  <c r="K92" i="31"/>
  <c r="J92" i="31"/>
  <c r="I92" i="31"/>
  <c r="H92" i="31"/>
  <c r="G92" i="31"/>
  <c r="F92" i="31"/>
  <c r="W92" i="31" s="1"/>
  <c r="X92" i="31" s="1"/>
  <c r="Y92" i="31" s="1"/>
  <c r="W91" i="31"/>
  <c r="X91" i="31" s="1"/>
  <c r="Y91" i="31" s="1"/>
  <c r="F91" i="31"/>
  <c r="W90" i="31"/>
  <c r="X90" i="31" s="1"/>
  <c r="Y90" i="31" s="1"/>
  <c r="V89" i="31"/>
  <c r="U89" i="31"/>
  <c r="T89" i="31"/>
  <c r="S89" i="31"/>
  <c r="R89" i="31"/>
  <c r="Q89" i="31"/>
  <c r="P89" i="31"/>
  <c r="O89" i="31"/>
  <c r="N89" i="31"/>
  <c r="M89" i="31"/>
  <c r="L89" i="31"/>
  <c r="K89" i="31"/>
  <c r="J89" i="31"/>
  <c r="I89" i="31"/>
  <c r="H89" i="31"/>
  <c r="G89" i="31"/>
  <c r="F89" i="31"/>
  <c r="W89" i="31" s="1"/>
  <c r="X89" i="31" s="1"/>
  <c r="Y89" i="31" s="1"/>
  <c r="F88" i="31"/>
  <c r="W88" i="31" s="1"/>
  <c r="X88" i="31" s="1"/>
  <c r="Y88" i="31" s="1"/>
  <c r="X87" i="31"/>
  <c r="Y87" i="31" s="1"/>
  <c r="W87" i="31"/>
  <c r="V86" i="31"/>
  <c r="U86" i="31"/>
  <c r="T86" i="31"/>
  <c r="S86" i="31"/>
  <c r="R86" i="31"/>
  <c r="Q86" i="31"/>
  <c r="P86" i="31"/>
  <c r="O86" i="31"/>
  <c r="N86" i="31"/>
  <c r="M86" i="31"/>
  <c r="L86" i="31"/>
  <c r="K86" i="31"/>
  <c r="J86" i="31"/>
  <c r="I86" i="31"/>
  <c r="H86" i="31"/>
  <c r="G86" i="31"/>
  <c r="W85" i="31"/>
  <c r="X85" i="31" s="1"/>
  <c r="Y85" i="31" s="1"/>
  <c r="F85" i="31"/>
  <c r="F84" i="31"/>
  <c r="W84" i="31" s="1"/>
  <c r="X84" i="31" s="1"/>
  <c r="Y84" i="31" s="1"/>
  <c r="W83" i="31"/>
  <c r="X83" i="31" s="1"/>
  <c r="Y83" i="31" s="1"/>
  <c r="F83" i="31"/>
  <c r="F82" i="31"/>
  <c r="W82" i="31" s="1"/>
  <c r="X82" i="31" s="1"/>
  <c r="Y82" i="31" s="1"/>
  <c r="W81" i="31"/>
  <c r="X81" i="31" s="1"/>
  <c r="Y81" i="31" s="1"/>
  <c r="F81" i="31"/>
  <c r="F80" i="31"/>
  <c r="W80" i="31" s="1"/>
  <c r="X80" i="31" s="1"/>
  <c r="Y80" i="31" s="1"/>
  <c r="W79" i="31"/>
  <c r="X79" i="31" s="1"/>
  <c r="Y79" i="31" s="1"/>
  <c r="F79" i="31"/>
  <c r="F78" i="31"/>
  <c r="W78" i="31" s="1"/>
  <c r="X78" i="31" s="1"/>
  <c r="Y78" i="31" s="1"/>
  <c r="W77" i="31"/>
  <c r="X77" i="31" s="1"/>
  <c r="Y77" i="31" s="1"/>
  <c r="V76" i="31"/>
  <c r="U76" i="31"/>
  <c r="S76" i="31"/>
  <c r="R76" i="31"/>
  <c r="Q76" i="31"/>
  <c r="P76" i="31"/>
  <c r="O76" i="31"/>
  <c r="N76" i="31"/>
  <c r="M76" i="31"/>
  <c r="L76" i="31"/>
  <c r="I76" i="31"/>
  <c r="H76" i="31"/>
  <c r="G76" i="31"/>
  <c r="T75" i="31"/>
  <c r="W75" i="31" s="1"/>
  <c r="X75" i="31" s="1"/>
  <c r="Y75" i="31" s="1"/>
  <c r="F75" i="31"/>
  <c r="W74" i="31"/>
  <c r="X74" i="31" s="1"/>
  <c r="Y74" i="31" s="1"/>
  <c r="J74" i="31"/>
  <c r="F74" i="31"/>
  <c r="T73" i="31"/>
  <c r="T76" i="31" s="1"/>
  <c r="F73" i="31"/>
  <c r="K72" i="31"/>
  <c r="K76" i="31" s="1"/>
  <c r="J72" i="31"/>
  <c r="J76" i="31" s="1"/>
  <c r="F72" i="31"/>
  <c r="F76" i="31" s="1"/>
  <c r="W76" i="31" s="1"/>
  <c r="X76" i="31" s="1"/>
  <c r="Y76" i="31" s="1"/>
  <c r="W71" i="31"/>
  <c r="X71" i="31" s="1"/>
  <c r="Y71" i="31" s="1"/>
  <c r="V70" i="31"/>
  <c r="U70" i="31"/>
  <c r="S70" i="31"/>
  <c r="R70" i="31"/>
  <c r="Q70" i="31"/>
  <c r="P70" i="31"/>
  <c r="O70" i="31"/>
  <c r="N70" i="31"/>
  <c r="M70" i="31"/>
  <c r="L70" i="31"/>
  <c r="J70" i="31"/>
  <c r="I70" i="31"/>
  <c r="H70" i="31"/>
  <c r="G70" i="31"/>
  <c r="F69" i="31"/>
  <c r="W69" i="31" s="1"/>
  <c r="X69" i="31" s="1"/>
  <c r="Y69" i="31" s="1"/>
  <c r="T68" i="31"/>
  <c r="W68" i="31" s="1"/>
  <c r="X68" i="31" s="1"/>
  <c r="Y68" i="31" s="1"/>
  <c r="F68" i="31"/>
  <c r="W67" i="31"/>
  <c r="X67" i="31" s="1"/>
  <c r="Y67" i="31" s="1"/>
  <c r="J67" i="31"/>
  <c r="F67" i="31"/>
  <c r="X66" i="31"/>
  <c r="Y66" i="31" s="1"/>
  <c r="W66" i="31"/>
  <c r="F66" i="31"/>
  <c r="F65" i="31"/>
  <c r="W65" i="31" s="1"/>
  <c r="X65" i="31" s="1"/>
  <c r="Y65" i="31" s="1"/>
  <c r="X64" i="31"/>
  <c r="Y64" i="31" s="1"/>
  <c r="W64" i="31"/>
  <c r="T64" i="31"/>
  <c r="F64" i="31"/>
  <c r="T63" i="31"/>
  <c r="T70" i="31" s="1"/>
  <c r="F63" i="31"/>
  <c r="W63" i="31" s="1"/>
  <c r="X63" i="31" s="1"/>
  <c r="Y63" i="31" s="1"/>
  <c r="K62" i="31"/>
  <c r="K70" i="31" s="1"/>
  <c r="J62" i="31"/>
  <c r="F62" i="31"/>
  <c r="W62" i="31" s="1"/>
  <c r="X62" i="31" s="1"/>
  <c r="Y62" i="31" s="1"/>
  <c r="X61" i="31"/>
  <c r="Y61" i="31" s="1"/>
  <c r="W61" i="31"/>
  <c r="V60" i="31"/>
  <c r="U60" i="31"/>
  <c r="S60" i="31"/>
  <c r="R60" i="31"/>
  <c r="Q60" i="31"/>
  <c r="P60" i="31"/>
  <c r="O60" i="31"/>
  <c r="N60" i="31"/>
  <c r="M60" i="31"/>
  <c r="L60" i="31"/>
  <c r="K60" i="31"/>
  <c r="J60" i="31"/>
  <c r="I60" i="31"/>
  <c r="H60" i="31"/>
  <c r="G60" i="31"/>
  <c r="W59" i="31"/>
  <c r="X59" i="31" s="1"/>
  <c r="Y59" i="31" s="1"/>
  <c r="F59" i="31"/>
  <c r="W58" i="31"/>
  <c r="X58" i="31" s="1"/>
  <c r="Y58" i="31" s="1"/>
  <c r="T58" i="31"/>
  <c r="F58" i="31"/>
  <c r="X57" i="31"/>
  <c r="Y57" i="31" s="1"/>
  <c r="W57" i="31"/>
  <c r="J57" i="31"/>
  <c r="F57" i="31"/>
  <c r="F56" i="31"/>
  <c r="W56" i="31" s="1"/>
  <c r="X56" i="31" s="1"/>
  <c r="Y56" i="31" s="1"/>
  <c r="F55" i="31"/>
  <c r="W55" i="31" s="1"/>
  <c r="X55" i="31" s="1"/>
  <c r="Y55" i="31" s="1"/>
  <c r="T54" i="31"/>
  <c r="F54" i="31"/>
  <c r="W54" i="31" s="1"/>
  <c r="X54" i="31" s="1"/>
  <c r="Y54" i="31" s="1"/>
  <c r="T53" i="31"/>
  <c r="W53" i="31" s="1"/>
  <c r="X53" i="31" s="1"/>
  <c r="Y53" i="31" s="1"/>
  <c r="F53" i="31"/>
  <c r="W52" i="31"/>
  <c r="X52" i="31" s="1"/>
  <c r="Y52" i="31" s="1"/>
  <c r="K52" i="31"/>
  <c r="J52" i="31"/>
  <c r="F52" i="31"/>
  <c r="F60" i="31" s="1"/>
  <c r="W51" i="31"/>
  <c r="X51" i="31" s="1"/>
  <c r="Y51" i="31" s="1"/>
  <c r="V50" i="31"/>
  <c r="V93" i="31" s="1"/>
  <c r="U50" i="31"/>
  <c r="U93" i="31" s="1"/>
  <c r="S50" i="31"/>
  <c r="S93" i="31" s="1"/>
  <c r="R50" i="31"/>
  <c r="R93" i="31" s="1"/>
  <c r="Q50" i="31"/>
  <c r="Q93" i="31" s="1"/>
  <c r="P50" i="31"/>
  <c r="P93" i="31" s="1"/>
  <c r="O50" i="31"/>
  <c r="O93" i="31" s="1"/>
  <c r="N50" i="31"/>
  <c r="N93" i="31" s="1"/>
  <c r="M50" i="31"/>
  <c r="M93" i="31" s="1"/>
  <c r="L50" i="31"/>
  <c r="L93" i="31" s="1"/>
  <c r="I50" i="31"/>
  <c r="I93" i="31" s="1"/>
  <c r="H50" i="31"/>
  <c r="H93" i="31" s="1"/>
  <c r="G50" i="31"/>
  <c r="G93" i="31" s="1"/>
  <c r="F49" i="31"/>
  <c r="W49" i="31" s="1"/>
  <c r="X49" i="31" s="1"/>
  <c r="Y49" i="31" s="1"/>
  <c r="X48" i="31"/>
  <c r="Y48" i="31" s="1"/>
  <c r="W48" i="31"/>
  <c r="T48" i="31"/>
  <c r="F48" i="31"/>
  <c r="J47" i="31"/>
  <c r="F47" i="31"/>
  <c r="W47" i="31" s="1"/>
  <c r="X47" i="31" s="1"/>
  <c r="Y47" i="31" s="1"/>
  <c r="F46" i="31"/>
  <c r="W46" i="31" s="1"/>
  <c r="X46" i="31" s="1"/>
  <c r="Y46" i="31" s="1"/>
  <c r="T45" i="31"/>
  <c r="T50" i="31" s="1"/>
  <c r="F45" i="31"/>
  <c r="W45" i="31" s="1"/>
  <c r="X45" i="31" s="1"/>
  <c r="Y45" i="31" s="1"/>
  <c r="W44" i="31"/>
  <c r="X44" i="31" s="1"/>
  <c r="Y44" i="31" s="1"/>
  <c r="T44" i="31"/>
  <c r="F44" i="31"/>
  <c r="X43" i="31"/>
  <c r="Y43" i="31" s="1"/>
  <c r="W43" i="31"/>
  <c r="K43" i="31"/>
  <c r="K50" i="31" s="1"/>
  <c r="J43" i="31"/>
  <c r="J50" i="31" s="1"/>
  <c r="F43" i="31"/>
  <c r="F50" i="31" s="1"/>
  <c r="W42" i="31"/>
  <c r="X42" i="31" s="1"/>
  <c r="Y42" i="31" s="1"/>
  <c r="Y41" i="31"/>
  <c r="X41" i="31"/>
  <c r="W41" i="31"/>
  <c r="S40" i="31"/>
  <c r="S151" i="31" s="1"/>
  <c r="Q40" i="31"/>
  <c r="Q151" i="31" s="1"/>
  <c r="P40" i="31"/>
  <c r="P151" i="31" s="1"/>
  <c r="M40" i="31"/>
  <c r="L40" i="31"/>
  <c r="L151" i="31" s="1"/>
  <c r="I40" i="31"/>
  <c r="I151" i="31" s="1"/>
  <c r="H40" i="31"/>
  <c r="H151" i="31" s="1"/>
  <c r="G40" i="31"/>
  <c r="X39" i="31"/>
  <c r="Y39" i="31" s="1"/>
  <c r="W39" i="31"/>
  <c r="M39" i="31"/>
  <c r="K39" i="31"/>
  <c r="F39" i="31"/>
  <c r="T38" i="31"/>
  <c r="T40" i="31" s="1"/>
  <c r="F38" i="31"/>
  <c r="W38" i="31" s="1"/>
  <c r="X38" i="31" s="1"/>
  <c r="Y38" i="31" s="1"/>
  <c r="W37" i="31"/>
  <c r="X37" i="31" s="1"/>
  <c r="Y37" i="31" s="1"/>
  <c r="F37" i="31"/>
  <c r="W36" i="31"/>
  <c r="X36" i="31" s="1"/>
  <c r="Y36" i="31" s="1"/>
  <c r="U36" i="31"/>
  <c r="R36" i="31"/>
  <c r="R40" i="31" s="1"/>
  <c r="R151" i="31" s="1"/>
  <c r="J36" i="31"/>
  <c r="F36" i="31"/>
  <c r="N35" i="31"/>
  <c r="N40" i="31" s="1"/>
  <c r="F35" i="31"/>
  <c r="W35" i="31" s="1"/>
  <c r="X35" i="31" s="1"/>
  <c r="Y35" i="31" s="1"/>
  <c r="W34" i="31"/>
  <c r="X34" i="31" s="1"/>
  <c r="Y34" i="31" s="1"/>
  <c r="T34" i="31"/>
  <c r="F34" i="31"/>
  <c r="U33" i="31"/>
  <c r="T33" i="31"/>
  <c r="O33" i="31"/>
  <c r="O40" i="31" s="1"/>
  <c r="O151" i="31" s="1"/>
  <c r="F33" i="31"/>
  <c r="W32" i="31"/>
  <c r="X32" i="31" s="1"/>
  <c r="Y32" i="31" s="1"/>
  <c r="V32" i="31"/>
  <c r="V40" i="31" s="1"/>
  <c r="U32" i="31"/>
  <c r="U40" i="31" s="1"/>
  <c r="U151" i="31" s="1"/>
  <c r="P32" i="31"/>
  <c r="K32" i="31"/>
  <c r="K40" i="31" s="1"/>
  <c r="J32" i="31"/>
  <c r="J40" i="31" s="1"/>
  <c r="F32" i="31"/>
  <c r="X31" i="31"/>
  <c r="Y31" i="31" s="1"/>
  <c r="W31" i="31"/>
  <c r="F31" i="31"/>
  <c r="F30" i="31"/>
  <c r="W30" i="31" s="1"/>
  <c r="X30" i="31" s="1"/>
  <c r="Y30" i="31" s="1"/>
  <c r="X29" i="31"/>
  <c r="Y29" i="31" s="1"/>
  <c r="W29" i="31"/>
  <c r="T29" i="31"/>
  <c r="F29" i="31"/>
  <c r="F28" i="31"/>
  <c r="F40" i="31" s="1"/>
  <c r="Y27" i="31"/>
  <c r="X27" i="31"/>
  <c r="W27" i="31"/>
  <c r="H24" i="31"/>
  <c r="H25" i="31" s="1"/>
  <c r="H152" i="31" s="1"/>
  <c r="H153" i="31" s="1"/>
  <c r="T23" i="31"/>
  <c r="S23" i="31"/>
  <c r="Q23" i="31"/>
  <c r="P23" i="31"/>
  <c r="M23" i="31"/>
  <c r="L23" i="31"/>
  <c r="K23" i="31"/>
  <c r="H23" i="31"/>
  <c r="G23" i="31"/>
  <c r="F23" i="31"/>
  <c r="X22" i="31"/>
  <c r="Y22" i="31" s="1"/>
  <c r="W22" i="31"/>
  <c r="S22" i="31"/>
  <c r="L22" i="31"/>
  <c r="K22" i="31"/>
  <c r="J22" i="31"/>
  <c r="J23" i="31" s="1"/>
  <c r="I22" i="31"/>
  <c r="I23" i="31" s="1"/>
  <c r="H22" i="31"/>
  <c r="X21" i="31"/>
  <c r="Y21" i="31" s="1"/>
  <c r="W21" i="31"/>
  <c r="R21" i="31"/>
  <c r="R23" i="31" s="1"/>
  <c r="U20" i="31"/>
  <c r="W20" i="31" s="1"/>
  <c r="X20" i="31" s="1"/>
  <c r="Y20" i="31" s="1"/>
  <c r="Y19" i="31"/>
  <c r="X19" i="31"/>
  <c r="W19" i="31"/>
  <c r="V19" i="31"/>
  <c r="V23" i="31" s="1"/>
  <c r="T18" i="31"/>
  <c r="W18" i="31" s="1"/>
  <c r="X18" i="31" s="1"/>
  <c r="Y18" i="31" s="1"/>
  <c r="X17" i="31"/>
  <c r="Y17" i="31" s="1"/>
  <c r="W17" i="31"/>
  <c r="O17" i="31"/>
  <c r="O23" i="31" s="1"/>
  <c r="N16" i="31"/>
  <c r="N23" i="31" s="1"/>
  <c r="X15" i="31"/>
  <c r="Y15" i="31" s="1"/>
  <c r="W15" i="31"/>
  <c r="X14" i="31"/>
  <c r="Y14" i="31" s="1"/>
  <c r="W14" i="31"/>
  <c r="W13" i="31"/>
  <c r="X13" i="31" s="1"/>
  <c r="Y13" i="31" s="1"/>
  <c r="V12" i="31"/>
  <c r="U12" i="31"/>
  <c r="T12" i="31"/>
  <c r="S12" i="31"/>
  <c r="R12" i="31"/>
  <c r="O12" i="31"/>
  <c r="N12" i="31"/>
  <c r="M12" i="31"/>
  <c r="L12" i="31"/>
  <c r="K12" i="31"/>
  <c r="J12" i="31"/>
  <c r="I12" i="31"/>
  <c r="H12" i="31"/>
  <c r="F11" i="31"/>
  <c r="F12" i="31" s="1"/>
  <c r="G10" i="31"/>
  <c r="G12" i="31" s="1"/>
  <c r="Q9" i="31"/>
  <c r="Q12" i="31" s="1"/>
  <c r="P9" i="31"/>
  <c r="P12" i="31" s="1"/>
  <c r="P24" i="31" s="1"/>
  <c r="P25" i="31" s="1"/>
  <c r="F9" i="31"/>
  <c r="W9" i="31" s="1"/>
  <c r="X9" i="31" s="1"/>
  <c r="Y9" i="31" s="1"/>
  <c r="X8" i="31"/>
  <c r="Y8" i="31" s="1"/>
  <c r="W8" i="31"/>
  <c r="V7" i="31"/>
  <c r="U7" i="31"/>
  <c r="T7" i="31"/>
  <c r="T24" i="31" s="1"/>
  <c r="T25" i="31" s="1"/>
  <c r="S7" i="31"/>
  <c r="S24" i="31" s="1"/>
  <c r="S25" i="31" s="1"/>
  <c r="S152" i="31" s="1"/>
  <c r="S153" i="31" s="1"/>
  <c r="R7" i="31"/>
  <c r="R24" i="31" s="1"/>
  <c r="R25" i="31" s="1"/>
  <c r="Q7" i="31"/>
  <c r="P7" i="31"/>
  <c r="O7" i="31"/>
  <c r="O24" i="31" s="1"/>
  <c r="O25" i="31" s="1"/>
  <c r="N7" i="31"/>
  <c r="N24" i="31" s="1"/>
  <c r="N25" i="31" s="1"/>
  <c r="M7" i="31"/>
  <c r="M24" i="31" s="1"/>
  <c r="M25" i="31" s="1"/>
  <c r="L7" i="31"/>
  <c r="L24" i="31" s="1"/>
  <c r="L25" i="31" s="1"/>
  <c r="L152" i="31" s="1"/>
  <c r="L153" i="31" s="1"/>
  <c r="K7" i="31"/>
  <c r="K24" i="31" s="1"/>
  <c r="K25" i="31" s="1"/>
  <c r="J7" i="31"/>
  <c r="I7" i="31"/>
  <c r="H7" i="31"/>
  <c r="G7" i="31"/>
  <c r="F7" i="31"/>
  <c r="W7" i="31" s="1"/>
  <c r="X7" i="31" s="1"/>
  <c r="Y7" i="31" s="1"/>
  <c r="W6" i="31"/>
  <c r="X6" i="31" s="1"/>
  <c r="Y6" i="31" s="1"/>
  <c r="F6" i="31"/>
  <c r="F5" i="31"/>
  <c r="W5" i="31" s="1"/>
  <c r="X5" i="31" s="1"/>
  <c r="Y5" i="31" s="1"/>
  <c r="W4" i="31"/>
  <c r="X4" i="31" s="1"/>
  <c r="Y4" i="31" s="1"/>
  <c r="W3" i="31"/>
  <c r="X3" i="31" s="1"/>
  <c r="Y3" i="31" s="1"/>
  <c r="K170" i="30"/>
  <c r="H169" i="30"/>
  <c r="I168" i="30"/>
  <c r="I167" i="30"/>
  <c r="H165" i="30"/>
  <c r="I164" i="30"/>
  <c r="I163" i="30"/>
  <c r="I162" i="30"/>
  <c r="I161" i="30"/>
  <c r="I160" i="30"/>
  <c r="I159" i="30"/>
  <c r="I158" i="30"/>
  <c r="I157" i="30"/>
  <c r="I156" i="30"/>
  <c r="I155" i="30"/>
  <c r="I154" i="30"/>
  <c r="I153" i="30"/>
  <c r="I152" i="30"/>
  <c r="I151" i="30"/>
  <c r="I150" i="30"/>
  <c r="I149" i="30"/>
  <c r="I148" i="30"/>
  <c r="I147" i="30"/>
  <c r="I146" i="30"/>
  <c r="I145" i="30"/>
  <c r="H143" i="30"/>
  <c r="I142" i="30"/>
  <c r="I141" i="30"/>
  <c r="I140" i="30"/>
  <c r="I139" i="30"/>
  <c r="J138" i="30"/>
  <c r="I138" i="30"/>
  <c r="I137" i="30"/>
  <c r="I136" i="30"/>
  <c r="I135" i="30"/>
  <c r="I134" i="30"/>
  <c r="I133" i="30"/>
  <c r="I132" i="30"/>
  <c r="I131" i="30"/>
  <c r="I130" i="30"/>
  <c r="I129" i="30"/>
  <c r="I128" i="30"/>
  <c r="H126" i="30"/>
  <c r="I125" i="30"/>
  <c r="I124" i="30"/>
  <c r="I123" i="30"/>
  <c r="I122" i="30"/>
  <c r="I121" i="30"/>
  <c r="I120" i="30"/>
  <c r="I119" i="30"/>
  <c r="I118" i="30"/>
  <c r="I117" i="30"/>
  <c r="I116" i="30"/>
  <c r="I115" i="30"/>
  <c r="I114" i="30"/>
  <c r="I113" i="30"/>
  <c r="I112" i="30"/>
  <c r="H110" i="30"/>
  <c r="I109" i="30"/>
  <c r="I108" i="30"/>
  <c r="I107" i="30"/>
  <c r="I106" i="30"/>
  <c r="I105" i="30"/>
  <c r="I104" i="30"/>
  <c r="I103" i="30"/>
  <c r="I102" i="30"/>
  <c r="I101" i="30"/>
  <c r="I100" i="30"/>
  <c r="I99" i="30"/>
  <c r="I98" i="30"/>
  <c r="I97" i="30"/>
  <c r="I96" i="30"/>
  <c r="I95" i="30"/>
  <c r="I94" i="30"/>
  <c r="I93" i="30"/>
  <c r="I92" i="30"/>
  <c r="I91" i="30"/>
  <c r="I90" i="30"/>
  <c r="I89" i="30"/>
  <c r="I88" i="30"/>
  <c r="I87" i="30"/>
  <c r="I86" i="30"/>
  <c r="I85" i="30"/>
  <c r="I84" i="30"/>
  <c r="I83" i="30"/>
  <c r="I82" i="30"/>
  <c r="H80" i="30"/>
  <c r="I79" i="30"/>
  <c r="I78" i="30"/>
  <c r="I77" i="30"/>
  <c r="I76" i="30"/>
  <c r="I75" i="30"/>
  <c r="I74" i="30"/>
  <c r="I73" i="30"/>
  <c r="I72" i="30"/>
  <c r="I71" i="30"/>
  <c r="I70" i="30"/>
  <c r="I69" i="30"/>
  <c r="I68" i="30"/>
  <c r="I67" i="30"/>
  <c r="I66" i="30"/>
  <c r="H64" i="30"/>
  <c r="H170" i="30" s="1"/>
  <c r="I63" i="30"/>
  <c r="I62" i="30"/>
  <c r="I61" i="30"/>
  <c r="I60" i="30"/>
  <c r="I59" i="30"/>
  <c r="I58" i="30"/>
  <c r="I57" i="30"/>
  <c r="I56" i="30"/>
  <c r="I55" i="30"/>
  <c r="I54" i="30"/>
  <c r="I53" i="30"/>
  <c r="I52" i="30"/>
  <c r="I51" i="30"/>
  <c r="I50" i="30"/>
  <c r="I49" i="30"/>
  <c r="I48" i="30"/>
  <c r="I47" i="30"/>
  <c r="I46" i="30"/>
  <c r="I45" i="30"/>
  <c r="I44" i="30"/>
  <c r="I43" i="30"/>
  <c r="I42" i="30"/>
  <c r="I41" i="30"/>
  <c r="I40" i="30"/>
  <c r="I39" i="30"/>
  <c r="I38" i="30"/>
  <c r="I37" i="30"/>
  <c r="L170" i="30" s="1"/>
  <c r="I36" i="30"/>
  <c r="I35" i="30"/>
  <c r="I34" i="30"/>
  <c r="I33" i="30"/>
  <c r="H32" i="30"/>
  <c r="H31" i="30"/>
  <c r="I30" i="30"/>
  <c r="I29" i="30"/>
  <c r="H27" i="30"/>
  <c r="J26" i="30"/>
  <c r="I26" i="30"/>
  <c r="J25" i="30"/>
  <c r="I25" i="30" s="1"/>
  <c r="J24" i="30"/>
  <c r="I24" i="30" s="1"/>
  <c r="J23" i="30"/>
  <c r="I23" i="30"/>
  <c r="J22" i="30"/>
  <c r="I22" i="30"/>
  <c r="J21" i="30"/>
  <c r="I21" i="30" s="1"/>
  <c r="J20" i="30"/>
  <c r="I20" i="30" s="1"/>
  <c r="J19" i="30"/>
  <c r="I19" i="30"/>
  <c r="J18" i="30"/>
  <c r="I18" i="30"/>
  <c r="J17" i="30"/>
  <c r="I17" i="30" s="1"/>
  <c r="J16" i="30"/>
  <c r="I16" i="30" s="1"/>
  <c r="J15" i="30"/>
  <c r="I15" i="30"/>
  <c r="J14" i="30"/>
  <c r="I14" i="30"/>
  <c r="J13" i="30"/>
  <c r="K32" i="30" s="1"/>
  <c r="K173" i="30" s="1"/>
  <c r="H11" i="30"/>
  <c r="J10" i="30"/>
  <c r="I10" i="30" s="1"/>
  <c r="I9" i="30"/>
  <c r="I8" i="30"/>
  <c r="I7" i="30"/>
  <c r="I6" i="30"/>
  <c r="I5" i="30"/>
  <c r="I4" i="30"/>
  <c r="X34" i="32" l="1"/>
  <c r="Y26" i="32" s="1"/>
  <c r="AE11" i="32"/>
  <c r="AE41" i="32" s="1"/>
  <c r="Q38" i="38"/>
  <c r="S19" i="38"/>
  <c r="G37" i="38"/>
  <c r="H27" i="38"/>
  <c r="T27" i="38" s="1"/>
  <c r="C48" i="37" s="1"/>
  <c r="B48" i="37" s="1"/>
  <c r="H19" i="38"/>
  <c r="F38" i="38"/>
  <c r="AI34" i="32"/>
  <c r="E19" i="38"/>
  <c r="E38" i="38"/>
  <c r="C39" i="38"/>
  <c r="E39" i="38" s="1"/>
  <c r="J18" i="38"/>
  <c r="P17" i="38"/>
  <c r="T17" i="38" s="1"/>
  <c r="C27" i="37" s="1"/>
  <c r="B27" i="37" s="1"/>
  <c r="T9" i="38"/>
  <c r="C18" i="37" s="1"/>
  <c r="B18" i="37" s="1"/>
  <c r="I38" i="38"/>
  <c r="AA26" i="32"/>
  <c r="E122" i="37"/>
  <c r="E123" i="37" s="1"/>
  <c r="AH14" i="32"/>
  <c r="C34" i="39"/>
  <c r="B34" i="39" s="1"/>
  <c r="AD14" i="32" s="1"/>
  <c r="AD11" i="32"/>
  <c r="C39" i="39"/>
  <c r="B39" i="39" s="1"/>
  <c r="AD21" i="32" s="1"/>
  <c r="AH21" i="32"/>
  <c r="V23" i="32"/>
  <c r="AD24" i="32"/>
  <c r="C31" i="39"/>
  <c r="B31" i="39" s="1"/>
  <c r="AD23" i="32" s="1"/>
  <c r="AH23" i="32"/>
  <c r="AD28" i="32"/>
  <c r="C30" i="39"/>
  <c r="B30" i="39" s="1"/>
  <c r="AD20" i="32" s="1"/>
  <c r="AH20" i="32"/>
  <c r="AH28" i="32"/>
  <c r="Y22" i="32"/>
  <c r="Y13" i="32"/>
  <c r="Z13" i="32" s="1"/>
  <c r="Y14" i="32"/>
  <c r="Y32" i="32"/>
  <c r="Y25" i="32"/>
  <c r="Y18" i="32"/>
  <c r="Y16" i="32"/>
  <c r="Y23" i="32"/>
  <c r="Y21" i="32"/>
  <c r="Y17" i="32"/>
  <c r="Y27" i="32"/>
  <c r="Y31" i="32"/>
  <c r="Y19" i="32"/>
  <c r="Y28" i="32"/>
  <c r="Y15" i="32"/>
  <c r="Y33" i="32"/>
  <c r="Y24" i="32"/>
  <c r="Y30" i="32"/>
  <c r="Y29" i="32"/>
  <c r="Y20" i="32"/>
  <c r="U13" i="32"/>
  <c r="U22" i="32"/>
  <c r="W22" i="32" s="1"/>
  <c r="U19" i="32"/>
  <c r="W19" i="32" s="1"/>
  <c r="U18" i="32"/>
  <c r="W18" i="32" s="1"/>
  <c r="U32" i="32"/>
  <c r="W32" i="32" s="1"/>
  <c r="U15" i="32"/>
  <c r="W15" i="32" s="1"/>
  <c r="U26" i="32"/>
  <c r="W26" i="32" s="1"/>
  <c r="U28" i="32"/>
  <c r="W28" i="32" s="1"/>
  <c r="U17" i="32"/>
  <c r="W17" i="32" s="1"/>
  <c r="U33" i="32"/>
  <c r="W33" i="32" s="1"/>
  <c r="U24" i="32"/>
  <c r="W24" i="32" s="1"/>
  <c r="U14" i="32"/>
  <c r="W14" i="32" s="1"/>
  <c r="U29" i="32"/>
  <c r="W29" i="32" s="1"/>
  <c r="U20" i="32"/>
  <c r="W20" i="32" s="1"/>
  <c r="U31" i="32"/>
  <c r="W31" i="32" s="1"/>
  <c r="U25" i="32"/>
  <c r="W25" i="32" s="1"/>
  <c r="U16" i="32"/>
  <c r="W16" i="32" s="1"/>
  <c r="U27" i="32"/>
  <c r="W27" i="32" s="1"/>
  <c r="U21" i="32"/>
  <c r="W21" i="32" s="1"/>
  <c r="U23" i="32"/>
  <c r="W23" i="32" s="1"/>
  <c r="E27" i="39"/>
  <c r="E145" i="39"/>
  <c r="W72" i="40"/>
  <c r="P73" i="40"/>
  <c r="W73" i="40" s="1"/>
  <c r="AA9" i="40"/>
  <c r="C14" i="39" s="1"/>
  <c r="B14" i="39" s="1"/>
  <c r="O20" i="40"/>
  <c r="I55" i="40"/>
  <c r="X73" i="40"/>
  <c r="R72" i="40"/>
  <c r="R73" i="40" s="1"/>
  <c r="O19" i="40"/>
  <c r="AA19" i="40" s="1"/>
  <c r="C24" i="39" s="1"/>
  <c r="B24" i="39" s="1"/>
  <c r="Y21" i="40"/>
  <c r="Z20" i="40"/>
  <c r="H73" i="40"/>
  <c r="E146" i="39"/>
  <c r="W12" i="31"/>
  <c r="X12" i="31" s="1"/>
  <c r="Y12" i="31" s="1"/>
  <c r="M151" i="31"/>
  <c r="W50" i="31"/>
  <c r="X50" i="31" s="1"/>
  <c r="Y50" i="31" s="1"/>
  <c r="V24" i="31"/>
  <c r="V25" i="31" s="1"/>
  <c r="J93" i="31"/>
  <c r="J151" i="31" s="1"/>
  <c r="K93" i="31"/>
  <c r="W150" i="31"/>
  <c r="X150" i="31" s="1"/>
  <c r="Y150" i="31" s="1"/>
  <c r="AJ150" i="31" s="1"/>
  <c r="M152" i="31"/>
  <c r="M153" i="31" s="1"/>
  <c r="K151" i="31"/>
  <c r="K152" i="31" s="1"/>
  <c r="K153" i="31" s="1"/>
  <c r="G24" i="31"/>
  <c r="G25" i="31" s="1"/>
  <c r="I24" i="31"/>
  <c r="I25" i="31" s="1"/>
  <c r="I152" i="31" s="1"/>
  <c r="I153" i="31" s="1"/>
  <c r="Q24" i="31"/>
  <c r="Q25" i="31" s="1"/>
  <c r="Q152" i="31" s="1"/>
  <c r="Q153" i="31" s="1"/>
  <c r="V151" i="31"/>
  <c r="O152" i="31"/>
  <c r="O153" i="31" s="1"/>
  <c r="J24" i="31"/>
  <c r="J25" i="31" s="1"/>
  <c r="R152" i="31"/>
  <c r="R153" i="31" s="1"/>
  <c r="P152" i="31"/>
  <c r="P153" i="31" s="1"/>
  <c r="W40" i="31"/>
  <c r="X40" i="31" s="1"/>
  <c r="Y40" i="31" s="1"/>
  <c r="N151" i="31"/>
  <c r="N152" i="31" s="1"/>
  <c r="N153" i="31" s="1"/>
  <c r="F24" i="31"/>
  <c r="W33" i="31"/>
  <c r="X33" i="31" s="1"/>
  <c r="Y33" i="31" s="1"/>
  <c r="W73" i="31"/>
  <c r="X73" i="31" s="1"/>
  <c r="Y73" i="31" s="1"/>
  <c r="F131" i="31"/>
  <c r="W133" i="31"/>
  <c r="X133" i="31" s="1"/>
  <c r="Y133" i="31" s="1"/>
  <c r="F70" i="31"/>
  <c r="W70" i="31" s="1"/>
  <c r="X70" i="31" s="1"/>
  <c r="Y70" i="31" s="1"/>
  <c r="F109" i="31"/>
  <c r="W109" i="31" s="1"/>
  <c r="X109" i="31" s="1"/>
  <c r="Y109" i="31" s="1"/>
  <c r="G131" i="31"/>
  <c r="G151" i="31" s="1"/>
  <c r="W11" i="31"/>
  <c r="X11" i="31" s="1"/>
  <c r="Y11" i="31" s="1"/>
  <c r="U23" i="31"/>
  <c r="W23" i="31" s="1"/>
  <c r="X23" i="31" s="1"/>
  <c r="Y23" i="31" s="1"/>
  <c r="T60" i="31"/>
  <c r="T93" i="31" s="1"/>
  <c r="T151" i="31" s="1"/>
  <c r="T152" i="31" s="1"/>
  <c r="T153" i="31" s="1"/>
  <c r="W16" i="31"/>
  <c r="X16" i="31" s="1"/>
  <c r="Y16" i="31" s="1"/>
  <c r="W28" i="31"/>
  <c r="X28" i="31" s="1"/>
  <c r="Y28" i="31" s="1"/>
  <c r="W72" i="31"/>
  <c r="X72" i="31" s="1"/>
  <c r="Y72" i="31" s="1"/>
  <c r="F86" i="31"/>
  <c r="W86" i="31" s="1"/>
  <c r="X86" i="31" s="1"/>
  <c r="Y86" i="31" s="1"/>
  <c r="W10" i="31"/>
  <c r="X10" i="31" s="1"/>
  <c r="Y10" i="31" s="1"/>
  <c r="H171" i="30"/>
  <c r="I13" i="30"/>
  <c r="L32" i="30" s="1"/>
  <c r="L173" i="30" s="1"/>
  <c r="F39" i="38" l="1"/>
  <c r="I39" i="38"/>
  <c r="H37" i="38"/>
  <c r="T37" i="38" s="1"/>
  <c r="C121" i="37" s="1"/>
  <c r="B121" i="37" s="1"/>
  <c r="G38" i="38"/>
  <c r="G39" i="38" s="1"/>
  <c r="J19" i="38"/>
  <c r="P18" i="38"/>
  <c r="T18" i="38" s="1"/>
  <c r="C28" i="37" s="1"/>
  <c r="B28" i="37" s="1"/>
  <c r="Q39" i="38"/>
  <c r="S39" i="38" s="1"/>
  <c r="S38" i="38"/>
  <c r="Y34" i="32"/>
  <c r="AA30" i="32"/>
  <c r="AA33" i="32"/>
  <c r="AA15" i="32"/>
  <c r="AA14" i="32"/>
  <c r="AA28" i="32"/>
  <c r="AA22" i="32"/>
  <c r="AA31" i="32"/>
  <c r="AA27" i="32"/>
  <c r="AA19" i="32"/>
  <c r="AA17" i="32"/>
  <c r="AA29" i="32"/>
  <c r="AA18" i="32"/>
  <c r="AA24" i="32"/>
  <c r="AA32" i="32"/>
  <c r="AA21" i="32"/>
  <c r="AA16" i="32"/>
  <c r="AA25" i="32"/>
  <c r="AA20" i="32"/>
  <c r="AA23" i="32"/>
  <c r="U34" i="32"/>
  <c r="AA13" i="32"/>
  <c r="E147" i="39"/>
  <c r="AA21" i="40"/>
  <c r="C27" i="39" s="1"/>
  <c r="B27" i="39" s="1"/>
  <c r="Y72" i="40"/>
  <c r="Z21" i="40"/>
  <c r="AA20" i="40"/>
  <c r="I71" i="40"/>
  <c r="O55" i="40"/>
  <c r="AA55" i="40" s="1"/>
  <c r="C88" i="39" s="1"/>
  <c r="B88" i="39" s="1"/>
  <c r="V13" i="32" s="1"/>
  <c r="W13" i="32" s="1"/>
  <c r="W34" i="32" s="1"/>
  <c r="F25" i="31"/>
  <c r="J152" i="31"/>
  <c r="J153" i="31" s="1"/>
  <c r="W60" i="31"/>
  <c r="X60" i="31" s="1"/>
  <c r="Y60" i="31" s="1"/>
  <c r="F93" i="31"/>
  <c r="W131" i="31"/>
  <c r="X131" i="31" s="1"/>
  <c r="Y131" i="31" s="1"/>
  <c r="U24" i="31"/>
  <c r="U25" i="31" s="1"/>
  <c r="U152" i="31" s="1"/>
  <c r="U153" i="31" s="1"/>
  <c r="V152" i="31"/>
  <c r="V153" i="31" s="1"/>
  <c r="G152" i="31"/>
  <c r="G153" i="31" s="1"/>
  <c r="Z34" i="32" l="1"/>
  <c r="J38" i="38"/>
  <c r="P19" i="38"/>
  <c r="T19" i="38" s="1"/>
  <c r="C29" i="37" s="1"/>
  <c r="B29" i="37" s="1"/>
  <c r="H38" i="38"/>
  <c r="H39" i="38"/>
  <c r="AA34" i="32"/>
  <c r="AH40" i="32"/>
  <c r="C26" i="39"/>
  <c r="B26" i="39" s="1"/>
  <c r="V34" i="32"/>
  <c r="I72" i="40"/>
  <c r="O71" i="40"/>
  <c r="AA71" i="40"/>
  <c r="C145" i="39" s="1"/>
  <c r="B145" i="39" s="1"/>
  <c r="Y73" i="40"/>
  <c r="Z73" i="40" s="1"/>
  <c r="Z72" i="40"/>
  <c r="W93" i="31"/>
  <c r="X93" i="31" s="1"/>
  <c r="Y93" i="31" s="1"/>
  <c r="F151" i="31"/>
  <c r="W151" i="31" s="1"/>
  <c r="X151" i="31" s="1"/>
  <c r="Y151" i="31" s="1"/>
  <c r="AJ151" i="31" s="1"/>
  <c r="W24" i="31"/>
  <c r="X24" i="31" s="1"/>
  <c r="Y24" i="31" s="1"/>
  <c r="W25" i="31"/>
  <c r="X25" i="31" s="1"/>
  <c r="Y25" i="31" s="1"/>
  <c r="J39" i="38" l="1"/>
  <c r="P39" i="38" s="1"/>
  <c r="T39" i="38" s="1"/>
  <c r="C123" i="37" s="1"/>
  <c r="B123" i="37" s="1"/>
  <c r="P38" i="38"/>
  <c r="T38" i="38" s="1"/>
  <c r="C122" i="37" s="1"/>
  <c r="B122" i="37" s="1"/>
  <c r="I73" i="40"/>
  <c r="O73" i="40" s="1"/>
  <c r="AA73" i="40" s="1"/>
  <c r="C147" i="39" s="1"/>
  <c r="B147" i="39" s="1"/>
  <c r="O72" i="40"/>
  <c r="AA72" i="40"/>
  <c r="C146" i="39" s="1"/>
  <c r="B146" i="39" s="1"/>
  <c r="F152" i="31"/>
  <c r="F153" i="31" s="1"/>
  <c r="W153" i="31" s="1"/>
  <c r="X153" i="31" s="1"/>
  <c r="Y153" i="31" s="1"/>
  <c r="AJ153" i="31" s="1"/>
  <c r="W152" i="31"/>
  <c r="X152" i="31" s="1"/>
  <c r="Y152" i="31" s="1"/>
  <c r="AJ152" i="31" s="1"/>
  <c r="AG12" i="32" l="1"/>
  <c r="AC12" i="32"/>
  <c r="D35" i="30" a="1"/>
  <c r="D35" i="30"/>
  <c r="D36" i="30" a="1"/>
  <c r="D36" i="30"/>
  <c r="D37" i="30" a="1"/>
  <c r="D37" i="30"/>
  <c r="D38" i="30" a="1"/>
  <c r="D38" i="30"/>
  <c r="D39" i="30" a="1"/>
  <c r="D39" i="30"/>
  <c r="D40" i="30" a="1"/>
  <c r="D40" i="30"/>
  <c r="D41" i="30" a="1"/>
  <c r="D41" i="30"/>
  <c r="D42" i="30" a="1"/>
  <c r="D42" i="30"/>
  <c r="D43" i="30" a="1"/>
  <c r="D43" i="30"/>
  <c r="D44" i="30" a="1"/>
  <c r="D44" i="30"/>
  <c r="D45" i="30" a="1"/>
  <c r="D45" i="30"/>
  <c r="D46" i="30" a="1"/>
  <c r="D46" i="30"/>
  <c r="D47" i="30" a="1"/>
  <c r="D47" i="30"/>
  <c r="D48" i="30" a="1"/>
  <c r="D48" i="30"/>
  <c r="D49" i="30" a="1"/>
  <c r="D49" i="30"/>
  <c r="D50" i="30" a="1"/>
  <c r="D50" i="30"/>
  <c r="D51" i="30" a="1"/>
  <c r="D51" i="30"/>
  <c r="D52" i="30" a="1"/>
  <c r="D52" i="30"/>
  <c r="D53" i="30" a="1"/>
  <c r="D53" i="30"/>
  <c r="D54" i="30" a="1"/>
  <c r="D54" i="30"/>
  <c r="D55" i="30" a="1"/>
  <c r="D55" i="30"/>
  <c r="D56" i="30" a="1"/>
  <c r="D56" i="30"/>
  <c r="D57" i="30" a="1"/>
  <c r="D57" i="30"/>
  <c r="D58" i="30" a="1"/>
  <c r="D58" i="30"/>
  <c r="D59" i="30" a="1"/>
  <c r="D59" i="30"/>
  <c r="D60" i="30" a="1"/>
  <c r="D60" i="30"/>
  <c r="D61" i="30" a="1"/>
  <c r="D61" i="30"/>
  <c r="D62" i="30" a="1"/>
  <c r="D62" i="30"/>
  <c r="D63" i="30" a="1"/>
  <c r="D63" i="30"/>
  <c r="D82" i="30" a="1"/>
  <c r="D82" i="30"/>
  <c r="D83" i="30" a="1"/>
  <c r="D83" i="30"/>
  <c r="D84" i="30" a="1"/>
  <c r="D84" i="30"/>
  <c r="D85" i="30" a="1"/>
  <c r="D85" i="30" s="1"/>
  <c r="D86" i="30" a="1"/>
  <c r="D86" i="30" s="1"/>
  <c r="D87" i="30" a="1"/>
  <c r="D87" i="30" s="1"/>
  <c r="D88" i="30" a="1"/>
  <c r="D88" i="30" s="1"/>
  <c r="D89" i="30" a="1"/>
  <c r="D89" i="30" s="1"/>
  <c r="D90" i="30" a="1"/>
  <c r="D90" i="30" s="1"/>
  <c r="D91" i="30" a="1"/>
  <c r="D91" i="30" s="1"/>
  <c r="D92" i="30" a="1"/>
  <c r="D92" i="30" s="1"/>
  <c r="D93" i="30" a="1"/>
  <c r="D93" i="30" s="1"/>
  <c r="D94" i="30" a="1"/>
  <c r="D94" i="30" s="1"/>
  <c r="D95" i="30" a="1"/>
  <c r="D95" i="30" s="1"/>
  <c r="D96" i="30" a="1"/>
  <c r="D96" i="30" s="1"/>
  <c r="D97" i="30" a="1"/>
  <c r="D97" i="30" s="1"/>
  <c r="D98" i="30" a="1"/>
  <c r="D98" i="30" s="1"/>
  <c r="D99" i="30" a="1"/>
  <c r="D99" i="30" s="1"/>
  <c r="D100" i="30" a="1"/>
  <c r="D100" i="30" s="1"/>
  <c r="D101" i="30" a="1"/>
  <c r="D101" i="30" s="1"/>
  <c r="D102" i="30" a="1"/>
  <c r="D102" i="30" s="1"/>
  <c r="D103" i="30" a="1"/>
  <c r="D103" i="30" s="1"/>
  <c r="D104" i="30" a="1"/>
  <c r="D104" i="30" s="1"/>
  <c r="D105" i="30" a="1"/>
  <c r="D105" i="30" s="1"/>
  <c r="D106" i="30" a="1"/>
  <c r="D106" i="30" s="1"/>
  <c r="D107" i="30" a="1"/>
  <c r="D107" i="30" s="1"/>
  <c r="D108" i="30" a="1"/>
  <c r="D108" i="30" s="1"/>
  <c r="D109" i="30" a="1"/>
  <c r="D109" i="30" s="1"/>
  <c r="D112" i="30" a="1"/>
  <c r="D112" i="30" s="1"/>
  <c r="D113" i="30" a="1"/>
  <c r="D113" i="30" s="1"/>
  <c r="D114" i="30" a="1"/>
  <c r="D114" i="30" s="1"/>
  <c r="D115" i="30" a="1"/>
  <c r="D115" i="30" s="1"/>
  <c r="D116" i="30" a="1"/>
  <c r="D116" i="30" s="1"/>
  <c r="D117" i="30" a="1"/>
  <c r="D117" i="30" s="1"/>
  <c r="D118" i="30" a="1"/>
  <c r="D118" i="30" s="1"/>
  <c r="D119" i="30" a="1"/>
  <c r="D119" i="30" s="1"/>
  <c r="D120" i="30" a="1"/>
  <c r="D120" i="30" s="1"/>
  <c r="D121" i="30" a="1"/>
  <c r="D121" i="30" s="1"/>
  <c r="D122" i="30" a="1"/>
  <c r="D122" i="30" s="1"/>
  <c r="D123" i="30" a="1"/>
  <c r="D123" i="30" s="1"/>
  <c r="D124" i="30" a="1"/>
  <c r="D124" i="30" s="1"/>
  <c r="D125" i="30" a="1"/>
  <c r="D125" i="30" s="1"/>
  <c r="D128" i="30" a="1"/>
  <c r="D128" i="30" s="1"/>
  <c r="D129" i="30" a="1"/>
  <c r="D129" i="30" s="1"/>
  <c r="D130" i="30" a="1"/>
  <c r="D130" i="30" s="1"/>
  <c r="D131" i="30" a="1"/>
  <c r="D131" i="30" s="1"/>
  <c r="D132" i="30" a="1"/>
  <c r="D132" i="30" s="1"/>
  <c r="D133" i="30" a="1"/>
  <c r="D133" i="30" s="1"/>
  <c r="D134" i="30" a="1"/>
  <c r="D134" i="30" s="1"/>
  <c r="D136" i="30" a="1"/>
  <c r="D136" i="30" s="1"/>
  <c r="D137" i="30" a="1"/>
  <c r="D137" i="30" s="1"/>
  <c r="D138" i="30" a="1"/>
  <c r="D138" i="30" s="1"/>
  <c r="D139" i="30" a="1"/>
  <c r="D139" i="30" s="1"/>
  <c r="D140" i="30" a="1"/>
  <c r="D140" i="30" s="1"/>
  <c r="D141" i="30" a="1"/>
  <c r="D141" i="30" s="1"/>
  <c r="D142" i="30" a="1"/>
  <c r="D142" i="30" s="1"/>
  <c r="D145" i="30" a="1"/>
  <c r="D145" i="30" s="1"/>
  <c r="D146" i="30" a="1"/>
  <c r="D146" i="30" s="1"/>
  <c r="D147" i="30" a="1"/>
  <c r="D147" i="30" s="1"/>
  <c r="D148" i="30" a="1"/>
  <c r="D148" i="30" s="1"/>
  <c r="D149" i="30" a="1"/>
  <c r="D149" i="30" s="1"/>
  <c r="D150" i="30" a="1"/>
  <c r="D150" i="30" s="1"/>
  <c r="D151" i="30" a="1"/>
  <c r="D151" i="30" s="1"/>
  <c r="D152" i="30" a="1"/>
  <c r="D152" i="30" s="1"/>
  <c r="D153" i="30" a="1"/>
  <c r="D153" i="30" s="1"/>
  <c r="D154" i="30" a="1"/>
  <c r="D154" i="30" s="1"/>
  <c r="D155" i="30" a="1"/>
  <c r="D155" i="30" s="1"/>
  <c r="D156" i="30" a="1"/>
  <c r="D156" i="30" s="1"/>
  <c r="D157" i="30" a="1"/>
  <c r="D157" i="30" s="1"/>
  <c r="D158" i="30" a="1"/>
  <c r="D158" i="30" s="1"/>
  <c r="D159" i="30" a="1"/>
  <c r="D159" i="30" s="1"/>
  <c r="D160" i="30" a="1"/>
  <c r="D160" i="30" s="1"/>
  <c r="D161" i="30" a="1"/>
  <c r="D161" i="30" s="1"/>
  <c r="D162" i="30" a="1"/>
  <c r="D162" i="30" s="1"/>
  <c r="D163" i="30" a="1"/>
  <c r="D163" i="30" s="1"/>
  <c r="D164" i="30" a="1"/>
  <c r="D164" i="30" s="1"/>
  <c r="D167" i="30" a="1"/>
  <c r="D167" i="30" s="1"/>
  <c r="D168" i="30" a="1"/>
  <c r="D168" i="30" s="1"/>
  <c r="G59" i="35"/>
  <c r="N51" i="35"/>
  <c r="M51" i="35"/>
  <c r="L51" i="35"/>
  <c r="K51" i="35"/>
  <c r="J51" i="35"/>
  <c r="I51" i="35"/>
  <c r="H51" i="35"/>
  <c r="G51" i="35"/>
  <c r="N50" i="35"/>
  <c r="O27" i="41" s="1"/>
  <c r="M50" i="35"/>
  <c r="J50" i="35"/>
  <c r="K27" i="41" s="1"/>
  <c r="I50" i="35"/>
  <c r="N48" i="35"/>
  <c r="M48" i="35"/>
  <c r="L48" i="35"/>
  <c r="K48" i="35"/>
  <c r="J48" i="35"/>
  <c r="I48" i="35"/>
  <c r="H48" i="35"/>
  <c r="G48" i="35"/>
  <c r="N47" i="35"/>
  <c r="O26" i="41" s="1"/>
  <c r="M47" i="35"/>
  <c r="J47" i="35"/>
  <c r="K26" i="41" s="1"/>
  <c r="I47" i="35"/>
  <c r="N46" i="35"/>
  <c r="O25" i="41" s="1"/>
  <c r="M46" i="35"/>
  <c r="J46" i="35"/>
  <c r="K25" i="41" s="1"/>
  <c r="I46" i="35"/>
  <c r="N44" i="35"/>
  <c r="O24" i="41" s="1"/>
  <c r="M44" i="35"/>
  <c r="J44" i="35"/>
  <c r="K24" i="41" s="1"/>
  <c r="I44" i="35"/>
  <c r="N43" i="35"/>
  <c r="O23" i="41" s="1"/>
  <c r="M43" i="35"/>
  <c r="J43" i="35"/>
  <c r="K23" i="41" s="1"/>
  <c r="I43" i="35"/>
  <c r="N42" i="35"/>
  <c r="O22" i="41" s="1"/>
  <c r="M42" i="35"/>
  <c r="J42" i="35"/>
  <c r="I42" i="35"/>
  <c r="N39" i="35"/>
  <c r="O21" i="41" s="1"/>
  <c r="M39" i="35"/>
  <c r="J39" i="35"/>
  <c r="K21" i="41" s="1"/>
  <c r="I39" i="35"/>
  <c r="N38" i="35"/>
  <c r="O20" i="41" s="1"/>
  <c r="M38" i="35"/>
  <c r="J38" i="35"/>
  <c r="K20" i="41" s="1"/>
  <c r="I38" i="35"/>
  <c r="N37" i="35"/>
  <c r="O19" i="41" s="1"/>
  <c r="M37" i="35"/>
  <c r="J37" i="35"/>
  <c r="K19" i="41" s="1"/>
  <c r="I37" i="35"/>
  <c r="N36" i="35"/>
  <c r="O18" i="41" s="1"/>
  <c r="M36" i="35"/>
  <c r="J36" i="35"/>
  <c r="K18" i="41" s="1"/>
  <c r="I36" i="35"/>
  <c r="N35" i="35"/>
  <c r="O17" i="41" s="1"/>
  <c r="M35" i="35"/>
  <c r="J35" i="35"/>
  <c r="K17" i="41" s="1"/>
  <c r="I35" i="35"/>
  <c r="N34" i="35"/>
  <c r="O16" i="41" s="1"/>
  <c r="M34" i="35"/>
  <c r="J34" i="35"/>
  <c r="K16" i="41" s="1"/>
  <c r="I34" i="35"/>
  <c r="N33" i="35"/>
  <c r="O15" i="41" s="1"/>
  <c r="M33" i="35"/>
  <c r="J33" i="35"/>
  <c r="K15" i="41" s="1"/>
  <c r="I33" i="35"/>
  <c r="N32" i="35"/>
  <c r="O14" i="41" s="1"/>
  <c r="M32" i="35"/>
  <c r="J32" i="35"/>
  <c r="I32" i="35"/>
  <c r="N29" i="35"/>
  <c r="O13" i="41" s="1"/>
  <c r="M29" i="35"/>
  <c r="J29" i="35"/>
  <c r="K13" i="41" s="1"/>
  <c r="I29" i="35"/>
  <c r="N28" i="35"/>
  <c r="O12" i="41" s="1"/>
  <c r="M28" i="35"/>
  <c r="J28" i="35"/>
  <c r="K12" i="41" s="1"/>
  <c r="I28" i="35"/>
  <c r="N27" i="35"/>
  <c r="O11" i="41" s="1"/>
  <c r="M27" i="35"/>
  <c r="J27" i="35"/>
  <c r="K11" i="41" s="1"/>
  <c r="I27" i="35"/>
  <c r="N26" i="35"/>
  <c r="O10" i="41" s="1"/>
  <c r="M26" i="35"/>
  <c r="J26" i="35"/>
  <c r="K10" i="41" s="1"/>
  <c r="I26" i="35"/>
  <c r="N25" i="35"/>
  <c r="O9" i="41" s="1"/>
  <c r="M25" i="35"/>
  <c r="J25" i="35"/>
  <c r="K9" i="41" s="1"/>
  <c r="I25" i="35"/>
  <c r="N24" i="35"/>
  <c r="O8" i="41" s="1"/>
  <c r="M24" i="35"/>
  <c r="J24" i="35"/>
  <c r="I24" i="35"/>
  <c r="N19" i="35"/>
  <c r="O7" i="41" s="1"/>
  <c r="M19" i="35"/>
  <c r="J19" i="35"/>
  <c r="K7" i="41" s="1"/>
  <c r="I19" i="35"/>
  <c r="N17" i="35"/>
  <c r="O6" i="41" s="1"/>
  <c r="M17" i="35"/>
  <c r="J17" i="35"/>
  <c r="K6" i="41" s="1"/>
  <c r="I17" i="35"/>
  <c r="I15" i="35"/>
  <c r="J15" i="35"/>
  <c r="K4" i="41" s="1"/>
  <c r="I13" i="35"/>
  <c r="J13" i="35"/>
  <c r="K2" i="41" s="1"/>
  <c r="M13" i="35"/>
  <c r="N13" i="35"/>
  <c r="O2" i="41" s="1"/>
  <c r="N14" i="35"/>
  <c r="O3" i="41" s="1"/>
  <c r="M14" i="35"/>
  <c r="J14" i="35"/>
  <c r="K3" i="41" s="1"/>
  <c r="I14" i="35"/>
  <c r="D4" i="35"/>
  <c r="AD41" i="32"/>
  <c r="K15" i="32"/>
  <c r="I16" i="32"/>
  <c r="K16" i="32"/>
  <c r="I17" i="32"/>
  <c r="K17" i="32"/>
  <c r="K18" i="32"/>
  <c r="I19" i="32"/>
  <c r="K19" i="32"/>
  <c r="K20" i="32"/>
  <c r="K21" i="32"/>
  <c r="I22" i="32"/>
  <c r="K22" i="32"/>
  <c r="K23" i="32"/>
  <c r="K24" i="32"/>
  <c r="K25" i="32"/>
  <c r="I26" i="32"/>
  <c r="K26" i="32"/>
  <c r="I27" i="32"/>
  <c r="K27" i="32"/>
  <c r="I28" i="32"/>
  <c r="K28" i="32"/>
  <c r="I29" i="32"/>
  <c r="K29" i="32"/>
  <c r="I30" i="32"/>
  <c r="K30" i="32"/>
  <c r="I31" i="32"/>
  <c r="K31" i="32"/>
  <c r="I32" i="32"/>
  <c r="K32" i="32"/>
  <c r="I33" i="32"/>
  <c r="K33" i="32"/>
  <c r="K14" i="32"/>
  <c r="D27" i="31" a="1"/>
  <c r="D27" i="31" s="1"/>
  <c r="D28" i="31" a="1"/>
  <c r="D28" i="31" s="1"/>
  <c r="D29" i="31" a="1"/>
  <c r="D29" i="31" s="1"/>
  <c r="D30" i="31" a="1"/>
  <c r="D30" i="31" s="1"/>
  <c r="D31" i="31" a="1"/>
  <c r="D31" i="31" s="1"/>
  <c r="D32" i="31" a="1"/>
  <c r="D32" i="31" s="1"/>
  <c r="D33" i="31" a="1"/>
  <c r="D33" i="31" s="1"/>
  <c r="D34" i="31" a="1"/>
  <c r="D34" i="31" s="1"/>
  <c r="D35" i="31" a="1"/>
  <c r="D35" i="31" s="1"/>
  <c r="D36" i="31" a="1"/>
  <c r="D36" i="31" s="1"/>
  <c r="D37" i="31" a="1"/>
  <c r="D37" i="31" s="1"/>
  <c r="D38" i="31" a="1"/>
  <c r="D38" i="31" s="1"/>
  <c r="D39" i="31" a="1"/>
  <c r="D39" i="31" s="1"/>
  <c r="D26" i="31" a="1"/>
  <c r="D26" i="31" s="1"/>
  <c r="AE34" i="32"/>
  <c r="AE39" i="32" s="1"/>
  <c r="AD34" i="32"/>
  <c r="AD39" i="32" s="1"/>
  <c r="M34" i="32"/>
  <c r="B23" i="32"/>
  <c r="B22" i="32"/>
  <c r="B21" i="32"/>
  <c r="B20" i="32"/>
  <c r="B19" i="32"/>
  <c r="B18" i="32"/>
  <c r="B17" i="32"/>
  <c r="B16" i="32"/>
  <c r="B15" i="32"/>
  <c r="B14" i="32"/>
  <c r="B13" i="32"/>
  <c r="B12" i="32"/>
  <c r="B11" i="32"/>
  <c r="B10" i="32"/>
  <c r="B9" i="32"/>
  <c r="B8" i="32"/>
  <c r="B7" i="32"/>
  <c r="B6" i="32"/>
  <c r="B5" i="32"/>
  <c r="B4" i="32"/>
  <c r="K8" i="41" l="1"/>
  <c r="J30" i="35"/>
  <c r="K14" i="41"/>
  <c r="J40" i="35"/>
  <c r="K22" i="41"/>
  <c r="J45" i="35"/>
  <c r="R8" i="32"/>
  <c r="AC8" i="32" s="1"/>
  <c r="S32" i="32"/>
  <c r="S28" i="32"/>
  <c r="S24" i="32"/>
  <c r="S20" i="32"/>
  <c r="S16" i="32"/>
  <c r="S11" i="32"/>
  <c r="AG11" i="32" s="1"/>
  <c r="R32" i="32"/>
  <c r="R28" i="32"/>
  <c r="R24" i="32"/>
  <c r="R20" i="32"/>
  <c r="R16" i="32"/>
  <c r="R11" i="32"/>
  <c r="AC11" i="32" s="1"/>
  <c r="S31" i="32"/>
  <c r="S27" i="32"/>
  <c r="S23" i="32"/>
  <c r="S19" i="32"/>
  <c r="S15" i="32"/>
  <c r="S10" i="32"/>
  <c r="AG10" i="32" s="1"/>
  <c r="L16" i="35" s="1"/>
  <c r="R31" i="32"/>
  <c r="R27" i="32"/>
  <c r="R23" i="32"/>
  <c r="R19" i="32"/>
  <c r="R15" i="32"/>
  <c r="R10" i="32"/>
  <c r="AC10" i="32" s="1"/>
  <c r="S30" i="32"/>
  <c r="S26" i="32"/>
  <c r="S22" i="32"/>
  <c r="S18" i="32"/>
  <c r="S14" i="32"/>
  <c r="S9" i="32"/>
  <c r="AG9" i="32" s="1"/>
  <c r="R30" i="32"/>
  <c r="R26" i="32"/>
  <c r="R22" i="32"/>
  <c r="R18" i="32"/>
  <c r="R14" i="32"/>
  <c r="R9" i="32"/>
  <c r="AC9" i="32" s="1"/>
  <c r="S33" i="32"/>
  <c r="S25" i="32"/>
  <c r="S21" i="32"/>
  <c r="S17" i="32"/>
  <c r="S13" i="32"/>
  <c r="AG13" i="32" s="1"/>
  <c r="L19" i="35" s="1"/>
  <c r="S8" i="32"/>
  <c r="AG8" i="32" s="1"/>
  <c r="S29" i="32"/>
  <c r="R33" i="32"/>
  <c r="R29" i="32"/>
  <c r="R25" i="32"/>
  <c r="R21" i="32"/>
  <c r="R17" i="32"/>
  <c r="R13" i="32"/>
  <c r="AC13" i="32" s="1"/>
  <c r="H19" i="35" s="1"/>
  <c r="D139" i="31" a="1"/>
  <c r="D139" i="31" s="1"/>
  <c r="D130" i="31" a="1"/>
  <c r="D130" i="31" s="1"/>
  <c r="D113" i="31" a="1"/>
  <c r="D113" i="31" s="1"/>
  <c r="D104" i="31" a="1"/>
  <c r="D104" i="31" s="1"/>
  <c r="D96" i="31" a="1"/>
  <c r="D96" i="31" s="1"/>
  <c r="D84" i="31" a="1"/>
  <c r="D84" i="31" s="1"/>
  <c r="D75" i="31" a="1"/>
  <c r="D75" i="31" s="1"/>
  <c r="D66" i="31" a="1"/>
  <c r="D66" i="31" s="1"/>
  <c r="D57" i="31" a="1"/>
  <c r="D57" i="31" s="1"/>
  <c r="D48" i="31" a="1"/>
  <c r="D48" i="31" s="1"/>
  <c r="D45" i="31" a="1"/>
  <c r="D45" i="31" s="1"/>
  <c r="D138" i="31" a="1"/>
  <c r="D138" i="31" s="1"/>
  <c r="D129" i="31" a="1"/>
  <c r="D129" i="31" s="1"/>
  <c r="D120" i="31" a="1"/>
  <c r="D120" i="31" s="1"/>
  <c r="D112" i="31" a="1"/>
  <c r="D112" i="31" s="1"/>
  <c r="D103" i="31" a="1"/>
  <c r="D103" i="31" s="1"/>
  <c r="D95" i="31" a="1"/>
  <c r="D95" i="31" s="1"/>
  <c r="D83" i="31" a="1"/>
  <c r="D83" i="31" s="1"/>
  <c r="D74" i="31" a="1"/>
  <c r="D74" i="31" s="1"/>
  <c r="D65" i="31" a="1"/>
  <c r="D65" i="31" s="1"/>
  <c r="D47" i="31" a="1"/>
  <c r="D47" i="31" s="1"/>
  <c r="D149" i="31" a="1"/>
  <c r="D149" i="31" s="1"/>
  <c r="D137" i="31" a="1"/>
  <c r="D137" i="31" s="1"/>
  <c r="D128" i="31" a="1"/>
  <c r="D128" i="31" s="1"/>
  <c r="D119" i="31" a="1"/>
  <c r="D119" i="31" s="1"/>
  <c r="D111" i="31" a="1"/>
  <c r="D111" i="31" s="1"/>
  <c r="D102" i="31" a="1"/>
  <c r="D102" i="31" s="1"/>
  <c r="D82" i="31" a="1"/>
  <c r="D82" i="31" s="1"/>
  <c r="D73" i="31" a="1"/>
  <c r="D73" i="31" s="1"/>
  <c r="D64" i="31" a="1"/>
  <c r="D64" i="31" s="1"/>
  <c r="D46" i="31" a="1"/>
  <c r="D46" i="31" s="1"/>
  <c r="D146" i="31" a="1"/>
  <c r="D146" i="31" s="1"/>
  <c r="D136" i="31" a="1"/>
  <c r="D136" i="31" s="1"/>
  <c r="D127" i="31" a="1"/>
  <c r="D127" i="31" s="1"/>
  <c r="D118" i="31" a="1"/>
  <c r="D118" i="31" s="1"/>
  <c r="D101" i="31" a="1"/>
  <c r="D101" i="31" s="1"/>
  <c r="D91" i="31" a="1"/>
  <c r="D91" i="31" s="1"/>
  <c r="D81" i="31" a="1"/>
  <c r="D81" i="31" s="1"/>
  <c r="D72" i="31" a="1"/>
  <c r="D72" i="31" s="1"/>
  <c r="D63" i="31" a="1"/>
  <c r="D63" i="31" s="1"/>
  <c r="D54" i="31" a="1"/>
  <c r="D54" i="31" s="1"/>
  <c r="D145" i="31" a="1"/>
  <c r="D145" i="31" s="1"/>
  <c r="D135" i="31" a="1"/>
  <c r="D135" i="31" s="1"/>
  <c r="D126" i="31" a="1"/>
  <c r="D126" i="31" s="1"/>
  <c r="D117" i="31" a="1"/>
  <c r="D117" i="31" s="1"/>
  <c r="D108" i="31" a="1"/>
  <c r="D108" i="31" s="1"/>
  <c r="D100" i="31" a="1"/>
  <c r="D100" i="31" s="1"/>
  <c r="D80" i="31" a="1"/>
  <c r="D80" i="31" s="1"/>
  <c r="D62" i="31" a="1"/>
  <c r="D62" i="31" s="1"/>
  <c r="D53" i="31" a="1"/>
  <c r="D53" i="31" s="1"/>
  <c r="D44" i="31" a="1"/>
  <c r="D44" i="31" s="1"/>
  <c r="D142" i="31" a="1"/>
  <c r="D142" i="31" s="1"/>
  <c r="D134" i="31" a="1"/>
  <c r="D134" i="31" s="1"/>
  <c r="D125" i="31" a="1"/>
  <c r="D125" i="31" s="1"/>
  <c r="D116" i="31" a="1"/>
  <c r="D116" i="31" s="1"/>
  <c r="D107" i="31" a="1"/>
  <c r="D107" i="31" s="1"/>
  <c r="D99" i="31" a="1"/>
  <c r="D99" i="31" s="1"/>
  <c r="D88" i="31" a="1"/>
  <c r="D88" i="31" s="1"/>
  <c r="D79" i="31" a="1"/>
  <c r="D79" i="31" s="1"/>
  <c r="D69" i="31" a="1"/>
  <c r="D69" i="31" s="1"/>
  <c r="D52" i="31" a="1"/>
  <c r="D52" i="31" s="1"/>
  <c r="D43" i="31" a="1"/>
  <c r="D43" i="31" s="1"/>
  <c r="D141" i="31" a="1"/>
  <c r="D141" i="31" s="1"/>
  <c r="D133" i="31" a="1"/>
  <c r="D133" i="31" s="1"/>
  <c r="D124" i="31" a="1"/>
  <c r="D124" i="31" s="1"/>
  <c r="D115" i="31" a="1"/>
  <c r="D115" i="31" s="1"/>
  <c r="D106" i="31" a="1"/>
  <c r="D106" i="31" s="1"/>
  <c r="D98" i="31" a="1"/>
  <c r="D98" i="31" s="1"/>
  <c r="D78" i="31" a="1"/>
  <c r="D78" i="31" s="1"/>
  <c r="D68" i="31" a="1"/>
  <c r="D68" i="31" s="1"/>
  <c r="D59" i="31" a="1"/>
  <c r="D59" i="31" s="1"/>
  <c r="D55" i="31" a="1"/>
  <c r="D55" i="31" s="1"/>
  <c r="D140" i="31" a="1"/>
  <c r="D140" i="31" s="1"/>
  <c r="D123" i="31" a="1"/>
  <c r="D123" i="31" s="1"/>
  <c r="D114" i="31" a="1"/>
  <c r="D114" i="31" s="1"/>
  <c r="D105" i="31" a="1"/>
  <c r="D105" i="31" s="1"/>
  <c r="D97" i="31" a="1"/>
  <c r="D97" i="31" s="1"/>
  <c r="D85" i="31" a="1"/>
  <c r="D85" i="31" s="1"/>
  <c r="D67" i="31" a="1"/>
  <c r="D67" i="31" s="1"/>
  <c r="D58" i="31" a="1"/>
  <c r="D58" i="31" s="1"/>
  <c r="D49" i="31" a="1"/>
  <c r="D49" i="31" s="1"/>
  <c r="AB19" i="32" s="1"/>
  <c r="G29" i="35" s="1"/>
  <c r="D56" i="31" a="1"/>
  <c r="D56" i="31" s="1"/>
  <c r="S7" i="32"/>
  <c r="R7" i="32"/>
  <c r="I18" i="35"/>
  <c r="I21" i="35" s="1"/>
  <c r="M18" i="35"/>
  <c r="M21" i="35" s="1"/>
  <c r="J18" i="35"/>
  <c r="J21" i="35" s="1"/>
  <c r="N18" i="35"/>
  <c r="N21" i="35" s="1"/>
  <c r="L26" i="32"/>
  <c r="L22" i="32"/>
  <c r="L18" i="32"/>
  <c r="L31" i="32"/>
  <c r="L27" i="32"/>
  <c r="L23" i="32"/>
  <c r="L19" i="32"/>
  <c r="L30" i="32"/>
  <c r="L25" i="32"/>
  <c r="L15" i="32"/>
  <c r="L33" i="32"/>
  <c r="L29" i="32"/>
  <c r="L21" i="32"/>
  <c r="L17" i="32"/>
  <c r="L28" i="32"/>
  <c r="L20" i="32"/>
  <c r="L32" i="32"/>
  <c r="L24" i="32"/>
  <c r="L16" i="32"/>
  <c r="L14" i="32"/>
  <c r="K34" i="32"/>
  <c r="J49" i="35" l="1"/>
  <c r="J52" i="35" s="1"/>
  <c r="AB31" i="32"/>
  <c r="G46" i="35" s="1"/>
  <c r="AB10" i="32"/>
  <c r="AB13" i="32"/>
  <c r="G19" i="35" s="1"/>
  <c r="AF19" i="32"/>
  <c r="K29" i="35" s="1"/>
  <c r="AB29" i="32"/>
  <c r="G43" i="35" s="1"/>
  <c r="AF17" i="32"/>
  <c r="K27" i="35" s="1"/>
  <c r="AB17" i="32"/>
  <c r="G27" i="35" s="1"/>
  <c r="AF30" i="32"/>
  <c r="K44" i="35" s="1"/>
  <c r="AF10" i="32"/>
  <c r="K16" i="35" s="1"/>
  <c r="AF16" i="32"/>
  <c r="K26" i="35" s="1"/>
  <c r="AB16" i="32"/>
  <c r="G26" i="35" s="1"/>
  <c r="AF13" i="32"/>
  <c r="AF32" i="32"/>
  <c r="K47" i="35" s="1"/>
  <c r="AB32" i="32"/>
  <c r="G47" i="35" s="1"/>
  <c r="AF29" i="32"/>
  <c r="K43" i="35" s="1"/>
  <c r="AF31" i="32"/>
  <c r="K46" i="35" s="1"/>
  <c r="AB30" i="32"/>
  <c r="G44" i="35" s="1"/>
  <c r="AG7" i="32"/>
  <c r="K19" i="35"/>
  <c r="L34" i="32"/>
  <c r="J55" i="35" l="1"/>
  <c r="J60" i="35" s="1"/>
  <c r="L13" i="35"/>
  <c r="AG41" i="32"/>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I24" i="32"/>
  <c r="A63" i="30"/>
  <c r="A62" i="30"/>
  <c r="A61" i="30"/>
  <c r="A60" i="30"/>
  <c r="A59" i="30"/>
  <c r="A58" i="30"/>
  <c r="A57" i="30"/>
  <c r="A56" i="30"/>
  <c r="A55" i="30"/>
  <c r="A54" i="30"/>
  <c r="I20" i="32"/>
  <c r="A53" i="30"/>
  <c r="A52" i="30"/>
  <c r="I18" i="32"/>
  <c r="A51" i="30"/>
  <c r="A50" i="30"/>
  <c r="A49" i="30"/>
  <c r="A48" i="30"/>
  <c r="A47" i="30"/>
  <c r="A46" i="30"/>
  <c r="A45" i="30"/>
  <c r="A44" i="30"/>
  <c r="A43" i="30"/>
  <c r="A42" i="30"/>
  <c r="A41" i="30"/>
  <c r="A40" i="30"/>
  <c r="A39" i="30"/>
  <c r="A38" i="30"/>
  <c r="I21" i="32"/>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H15" i="35"/>
  <c r="A6" i="30"/>
  <c r="A5" i="30"/>
  <c r="A4" i="30"/>
  <c r="I14" i="32" l="1"/>
  <c r="I23" i="32"/>
  <c r="I15" i="32"/>
  <c r="H17" i="35"/>
  <c r="L17" i="35"/>
  <c r="H14" i="35"/>
  <c r="L14" i="35"/>
  <c r="I25" i="32"/>
  <c r="J25" i="32" s="1"/>
  <c r="I154" i="1"/>
  <c r="G35" i="1"/>
  <c r="I14" i="1"/>
  <c r="I31" i="1"/>
  <c r="I27" i="1"/>
  <c r="I60" i="1"/>
  <c r="I72" i="1"/>
  <c r="I90" i="1"/>
  <c r="I100" i="1"/>
  <c r="I110" i="1"/>
  <c r="I122" i="1"/>
  <c r="I133" i="1"/>
  <c r="I145" i="1"/>
  <c r="I15" i="1"/>
  <c r="I32" i="1"/>
  <c r="I44" i="1"/>
  <c r="I63" i="1"/>
  <c r="I73" i="1"/>
  <c r="I91" i="1"/>
  <c r="I101" i="1"/>
  <c r="I111" i="1"/>
  <c r="I123" i="1"/>
  <c r="I134" i="1"/>
  <c r="I146" i="1"/>
  <c r="I16" i="1"/>
  <c r="I33" i="1"/>
  <c r="I47" i="1"/>
  <c r="I64" i="1"/>
  <c r="I74" i="1"/>
  <c r="I92" i="1"/>
  <c r="I102" i="1"/>
  <c r="I114" i="1"/>
  <c r="I124" i="1"/>
  <c r="I135" i="1"/>
  <c r="I147" i="1"/>
  <c r="I17" i="1"/>
  <c r="I35" i="1"/>
  <c r="I48" i="1"/>
  <c r="I65" i="1"/>
  <c r="I75" i="1"/>
  <c r="I93" i="1"/>
  <c r="I103" i="1"/>
  <c r="I115" i="1"/>
  <c r="I125" i="1"/>
  <c r="I136" i="1"/>
  <c r="I148" i="1"/>
  <c r="I18" i="1"/>
  <c r="I36" i="1"/>
  <c r="I55" i="1"/>
  <c r="I67" i="1"/>
  <c r="I76" i="1"/>
  <c r="I94" i="1"/>
  <c r="I104" i="1"/>
  <c r="I116" i="1"/>
  <c r="I126" i="1"/>
  <c r="I139" i="1"/>
  <c r="I149" i="1"/>
  <c r="I19" i="1"/>
  <c r="I37" i="1"/>
  <c r="I56" i="1"/>
  <c r="I68" i="1"/>
  <c r="I77" i="1"/>
  <c r="I95" i="1"/>
  <c r="I105" i="1"/>
  <c r="I117" i="1"/>
  <c r="I128" i="1"/>
  <c r="I140" i="1"/>
  <c r="I152" i="1"/>
  <c r="I20" i="1"/>
  <c r="I38" i="1"/>
  <c r="I50" i="1"/>
  <c r="I69" i="1"/>
  <c r="I78" i="1"/>
  <c r="I96" i="1"/>
  <c r="I108" i="1"/>
  <c r="I118" i="1"/>
  <c r="I129" i="1"/>
  <c r="I141" i="1"/>
  <c r="I153" i="1"/>
  <c r="I13" i="1"/>
  <c r="I21" i="1"/>
  <c r="I29" i="1"/>
  <c r="I59" i="1"/>
  <c r="I71" i="1"/>
  <c r="I89" i="1"/>
  <c r="I99" i="1"/>
  <c r="I109" i="1"/>
  <c r="I121" i="1"/>
  <c r="I132" i="1"/>
  <c r="I142" i="1"/>
  <c r="I51" i="1"/>
  <c r="I34" i="1"/>
  <c r="I53" i="1"/>
  <c r="I127" i="1"/>
  <c r="I54" i="1"/>
  <c r="I61" i="1"/>
  <c r="I70" i="1"/>
  <c r="I58" i="1"/>
  <c r="I62" i="1"/>
  <c r="AC7" i="32" l="1"/>
  <c r="H13" i="35" s="1"/>
  <c r="H18" i="35" s="1"/>
  <c r="H21" i="35" s="1"/>
  <c r="S34" i="32"/>
  <c r="J27" i="32"/>
  <c r="N27" i="32" s="1"/>
  <c r="L18" i="35"/>
  <c r="L21" i="35" s="1"/>
  <c r="J17" i="32"/>
  <c r="O17" i="32" s="1"/>
  <c r="R34" i="32"/>
  <c r="J18" i="32"/>
  <c r="J16" i="32"/>
  <c r="J19" i="32"/>
  <c r="O27" i="32"/>
  <c r="N25" i="32"/>
  <c r="O25" i="32"/>
  <c r="I34" i="32"/>
  <c r="J20" i="32"/>
  <c r="J29" i="32"/>
  <c r="J26" i="32"/>
  <c r="J22" i="32"/>
  <c r="J24" i="32"/>
  <c r="J33" i="32"/>
  <c r="J21" i="32"/>
  <c r="J14" i="32"/>
  <c r="J31" i="32"/>
  <c r="J30" i="32"/>
  <c r="J23" i="32"/>
  <c r="J28" i="32"/>
  <c r="J32" i="32"/>
  <c r="J15" i="32"/>
  <c r="I143" i="1"/>
  <c r="I150" i="1"/>
  <c r="I112" i="1"/>
  <c r="I137" i="1"/>
  <c r="I119" i="1"/>
  <c r="I130" i="1"/>
  <c r="Q17" i="32" l="1"/>
  <c r="AG17" i="32"/>
  <c r="Q25" i="32"/>
  <c r="AG25" i="32"/>
  <c r="P25" i="32"/>
  <c r="AC25" i="32"/>
  <c r="Q27" i="32"/>
  <c r="AG27" i="32"/>
  <c r="P27" i="32"/>
  <c r="H39" i="35" s="1"/>
  <c r="AC27" i="32"/>
  <c r="N17" i="32"/>
  <c r="N33" i="32"/>
  <c r="O33" i="32"/>
  <c r="N30" i="32"/>
  <c r="O30" i="32"/>
  <c r="N22" i="32"/>
  <c r="O22" i="32"/>
  <c r="O31" i="32"/>
  <c r="N31" i="32"/>
  <c r="N26" i="32"/>
  <c r="O26" i="32"/>
  <c r="N19" i="32"/>
  <c r="O19" i="32"/>
  <c r="O23" i="32"/>
  <c r="N23" i="32"/>
  <c r="O14" i="32"/>
  <c r="AG14" i="32" s="1"/>
  <c r="J34" i="32"/>
  <c r="N14" i="32"/>
  <c r="AC14" i="32" s="1"/>
  <c r="O29" i="32"/>
  <c r="N29" i="32"/>
  <c r="N16" i="32"/>
  <c r="O16" i="32"/>
  <c r="N21" i="32"/>
  <c r="O21" i="32"/>
  <c r="O20" i="32"/>
  <c r="N20" i="32"/>
  <c r="N18" i="32"/>
  <c r="O18" i="32"/>
  <c r="O32" i="32"/>
  <c r="N32" i="32"/>
  <c r="N28" i="32"/>
  <c r="O28" i="32"/>
  <c r="O24" i="32"/>
  <c r="N24" i="32"/>
  <c r="O15" i="32"/>
  <c r="N15" i="32"/>
  <c r="AF22" i="32"/>
  <c r="K34" i="35" s="1"/>
  <c r="AF8" i="32"/>
  <c r="K14" i="35" s="1"/>
  <c r="AF9" i="32"/>
  <c r="AF7" i="32"/>
  <c r="AF25" i="32"/>
  <c r="K37" i="35" s="1"/>
  <c r="AF18" i="32"/>
  <c r="K28" i="35" s="1"/>
  <c r="K13" i="35" l="1"/>
  <c r="H37" i="35"/>
  <c r="L37" i="35"/>
  <c r="L27" i="35"/>
  <c r="AF12" i="32"/>
  <c r="AF24" i="32"/>
  <c r="K36" i="35" s="1"/>
  <c r="Q32" i="32"/>
  <c r="AG32" i="32"/>
  <c r="P16" i="32"/>
  <c r="AC16" i="32"/>
  <c r="Q19" i="32"/>
  <c r="AG19" i="32"/>
  <c r="Q30" i="32"/>
  <c r="AG30" i="32"/>
  <c r="L39" i="35"/>
  <c r="Q16" i="32"/>
  <c r="AG16" i="32"/>
  <c r="P15" i="32"/>
  <c r="AC15" i="32"/>
  <c r="Q18" i="32"/>
  <c r="AG18" i="32"/>
  <c r="P29" i="32"/>
  <c r="AC29" i="32"/>
  <c r="P19" i="32"/>
  <c r="AC19" i="32"/>
  <c r="P30" i="32"/>
  <c r="AC30" i="32"/>
  <c r="P22" i="32"/>
  <c r="AC22" i="32"/>
  <c r="Q15" i="32"/>
  <c r="AG15" i="32"/>
  <c r="P18" i="32"/>
  <c r="AC18" i="32"/>
  <c r="Q29" i="32"/>
  <c r="AG29" i="32"/>
  <c r="Q26" i="32"/>
  <c r="AG26" i="32"/>
  <c r="Q33" i="32"/>
  <c r="AG33" i="32"/>
  <c r="P32" i="32"/>
  <c r="AC32" i="32"/>
  <c r="P24" i="32"/>
  <c r="AC24" i="32"/>
  <c r="P20" i="32"/>
  <c r="AC20" i="32"/>
  <c r="P26" i="32"/>
  <c r="AC26" i="32"/>
  <c r="P33" i="32"/>
  <c r="AC33" i="32"/>
  <c r="Q23" i="32"/>
  <c r="AG23" i="32"/>
  <c r="Q24" i="32"/>
  <c r="AG24" i="32"/>
  <c r="Q20" i="32"/>
  <c r="AG20" i="32"/>
  <c r="P31" i="32"/>
  <c r="AC31" i="32"/>
  <c r="P17" i="32"/>
  <c r="AC17" i="32"/>
  <c r="Q28" i="32"/>
  <c r="AG28" i="32"/>
  <c r="Q21" i="32"/>
  <c r="AG21" i="32"/>
  <c r="Q31" i="32"/>
  <c r="AG31" i="32"/>
  <c r="P28" i="32"/>
  <c r="AC28" i="32"/>
  <c r="P21" i="32"/>
  <c r="AC21" i="32"/>
  <c r="P23" i="32"/>
  <c r="AC23" i="32"/>
  <c r="Q22" i="32"/>
  <c r="AG22" i="32"/>
  <c r="Q14" i="32"/>
  <c r="O34" i="32"/>
  <c r="Q35" i="32" s="1"/>
  <c r="P14" i="32"/>
  <c r="N34" i="32"/>
  <c r="P35" i="32" s="1"/>
  <c r="AB8" i="32"/>
  <c r="G14" i="35" s="1"/>
  <c r="AF26" i="32"/>
  <c r="K38" i="35" s="1"/>
  <c r="AF15" i="32"/>
  <c r="K25" i="35" s="1"/>
  <c r="AB18" i="32"/>
  <c r="G28" i="35" s="1"/>
  <c r="AF20" i="32"/>
  <c r="K32" i="35" s="1"/>
  <c r="AB27" i="32"/>
  <c r="G39" i="35" s="1"/>
  <c r="AF33" i="32"/>
  <c r="K50" i="35" s="1"/>
  <c r="AB15" i="32"/>
  <c r="G25" i="35" s="1"/>
  <c r="AF23" i="32"/>
  <c r="K35" i="35" s="1"/>
  <c r="AB24" i="32"/>
  <c r="G36" i="35" s="1"/>
  <c r="AB7" i="32"/>
  <c r="G13" i="35" s="1"/>
  <c r="AB12" i="32"/>
  <c r="AB9" i="32"/>
  <c r="G15" i="35" s="1"/>
  <c r="AB22" i="32"/>
  <c r="G34" i="35" s="1"/>
  <c r="L34" i="35" l="1"/>
  <c r="H28" i="35"/>
  <c r="H47" i="35"/>
  <c r="L47" i="35"/>
  <c r="H36" i="35"/>
  <c r="L43" i="35"/>
  <c r="H44" i="35"/>
  <c r="L29" i="35"/>
  <c r="H26" i="35"/>
  <c r="H29" i="35"/>
  <c r="L50" i="35"/>
  <c r="H43" i="35"/>
  <c r="L25" i="35"/>
  <c r="AC34" i="32"/>
  <c r="AB14" i="32"/>
  <c r="AF11" i="32"/>
  <c r="AF21" i="32"/>
  <c r="K33" i="35" s="1"/>
  <c r="AF27" i="32"/>
  <c r="K39" i="35" s="1"/>
  <c r="AF14" i="32"/>
  <c r="AB28" i="32"/>
  <c r="G42" i="35" s="1"/>
  <c r="G45" i="35" s="1"/>
  <c r="AF28" i="32"/>
  <c r="K42" i="35" s="1"/>
  <c r="AB26" i="32"/>
  <c r="G38" i="35" s="1"/>
  <c r="AB25" i="32"/>
  <c r="G37" i="35" s="1"/>
  <c r="AB21" i="32"/>
  <c r="G33" i="35" s="1"/>
  <c r="L36" i="35"/>
  <c r="H32" i="35"/>
  <c r="L38" i="35"/>
  <c r="H34" i="35"/>
  <c r="L28" i="35"/>
  <c r="L42" i="35"/>
  <c r="H42" i="35"/>
  <c r="H27" i="35"/>
  <c r="L35" i="35"/>
  <c r="L44" i="35"/>
  <c r="H25" i="35"/>
  <c r="H33" i="35"/>
  <c r="L46" i="35"/>
  <c r="H46" i="35"/>
  <c r="H50" i="35"/>
  <c r="L26" i="35"/>
  <c r="H35" i="35"/>
  <c r="L33" i="35"/>
  <c r="L32" i="35"/>
  <c r="H38" i="35"/>
  <c r="P34" i="32"/>
  <c r="Q34" i="32"/>
  <c r="AB20" i="32"/>
  <c r="G32" i="35" s="1"/>
  <c r="AB33" i="32"/>
  <c r="G50" i="35" s="1"/>
  <c r="AB23" i="32"/>
  <c r="G35" i="35" s="1"/>
  <c r="K17" i="35" l="1"/>
  <c r="K18" i="35" s="1"/>
  <c r="K21" i="35" s="1"/>
  <c r="AF41" i="32"/>
  <c r="H45" i="35"/>
  <c r="G40" i="35"/>
  <c r="AB11" i="32"/>
  <c r="G17" i="35" s="1"/>
  <c r="G18" i="35" s="1"/>
  <c r="G21" i="35" s="1"/>
  <c r="G24" i="35"/>
  <c r="G30" i="35" s="1"/>
  <c r="G49" i="35" s="1"/>
  <c r="G52" i="35" s="1"/>
  <c r="AB34" i="32"/>
  <c r="K24" i="35"/>
  <c r="N59" i="35" s="1"/>
  <c r="N60" i="35" s="1"/>
  <c r="AF34" i="32"/>
  <c r="AF39" i="32" s="1"/>
  <c r="H40" i="35"/>
  <c r="L24" i="35"/>
  <c r="AG34" i="32"/>
  <c r="AG39" i="32" s="1"/>
  <c r="H24" i="35"/>
  <c r="H30" i="35" s="1"/>
  <c r="H49" i="35" s="1"/>
  <c r="H52" i="35" s="1"/>
  <c r="H55" i="35" s="1"/>
  <c r="H60" i="35" s="1"/>
  <c r="AM24" i="31"/>
  <c r="G55" i="35" l="1"/>
  <c r="G60" i="35" s="1"/>
  <c r="H75" i="1" l="1"/>
  <c r="H74" i="1"/>
  <c r="H73" i="1"/>
  <c r="H72" i="1"/>
  <c r="H71" i="1"/>
  <c r="H70" i="1"/>
  <c r="H68" i="1"/>
  <c r="H67" i="1"/>
  <c r="H65" i="1"/>
  <c r="H64" i="1"/>
  <c r="H63" i="1"/>
  <c r="H61" i="1"/>
  <c r="H60" i="1"/>
  <c r="H59" i="1"/>
  <c r="H56" i="1"/>
  <c r="H51" i="1"/>
  <c r="H50" i="1"/>
  <c r="H48" i="1"/>
  <c r="H47" i="1"/>
  <c r="F48" i="1"/>
  <c r="F46" i="1"/>
  <c r="F43" i="1"/>
  <c r="F30" i="1"/>
  <c r="H154" i="1"/>
  <c r="F154" i="1"/>
  <c r="H153" i="1"/>
  <c r="F153" i="1"/>
  <c r="H148" i="1"/>
  <c r="F148" i="1"/>
  <c r="H146" i="1"/>
  <c r="F146" i="1"/>
  <c r="H142" i="1"/>
  <c r="F142" i="1"/>
  <c r="H141" i="1"/>
  <c r="F141" i="1"/>
  <c r="H140" i="1"/>
  <c r="F140" i="1"/>
  <c r="H139" i="1"/>
  <c r="F139" i="1"/>
  <c r="H136" i="1"/>
  <c r="F136" i="1"/>
  <c r="H135" i="1"/>
  <c r="F135" i="1"/>
  <c r="H134" i="1"/>
  <c r="F134" i="1"/>
  <c r="H126" i="1"/>
  <c r="F126" i="1"/>
  <c r="H125" i="1"/>
  <c r="F125" i="1"/>
  <c r="H124" i="1"/>
  <c r="F124" i="1"/>
  <c r="H114" i="1"/>
  <c r="F114" i="1"/>
  <c r="H110" i="1"/>
  <c r="F110" i="1"/>
  <c r="H108" i="1"/>
  <c r="F108" i="1"/>
  <c r="H104" i="1"/>
  <c r="F104" i="1"/>
  <c r="F90" i="1"/>
  <c r="H90" i="1"/>
  <c r="F91" i="1"/>
  <c r="H91" i="1"/>
  <c r="H92" i="1"/>
  <c r="F95" i="1"/>
  <c r="H95" i="1"/>
  <c r="H44" i="1"/>
  <c r="F44" i="1"/>
  <c r="H34" i="1"/>
  <c r="H33" i="1"/>
  <c r="F33" i="1"/>
  <c r="H32" i="1"/>
  <c r="F32" i="1"/>
  <c r="H31" i="1"/>
  <c r="F31" i="1"/>
  <c r="H29" i="1"/>
  <c r="F29" i="1"/>
  <c r="H27" i="1"/>
  <c r="F27" i="1"/>
  <c r="H21" i="1"/>
  <c r="F21" i="1"/>
  <c r="H20" i="1"/>
  <c r="F20" i="1"/>
  <c r="H19" i="1"/>
  <c r="F19" i="1"/>
  <c r="H18" i="1"/>
  <c r="F18" i="1"/>
  <c r="H16" i="1"/>
  <c r="F16" i="1"/>
  <c r="H15" i="1"/>
  <c r="H13" i="1"/>
  <c r="H17" i="1"/>
  <c r="H55" i="1"/>
  <c r="H58" i="1"/>
  <c r="H62" i="1"/>
  <c r="H69" i="1"/>
  <c r="H89" i="1"/>
  <c r="H93" i="1"/>
  <c r="H94" i="1"/>
  <c r="H99" i="1"/>
  <c r="H100" i="1"/>
  <c r="H101" i="1"/>
  <c r="H102" i="1"/>
  <c r="H103" i="1"/>
  <c r="H111" i="1"/>
  <c r="H109" i="1"/>
  <c r="H118" i="1"/>
  <c r="H115" i="1"/>
  <c r="H116" i="1"/>
  <c r="H121" i="1"/>
  <c r="H129" i="1"/>
  <c r="H127" i="1"/>
  <c r="H128" i="1"/>
  <c r="H133" i="1"/>
  <c r="H149" i="1"/>
  <c r="H152" i="1"/>
  <c r="H145" i="1"/>
  <c r="H147" i="1"/>
  <c r="H122" i="1" l="1"/>
  <c r="H53" i="1"/>
  <c r="H105" i="1"/>
  <c r="H117" i="1"/>
  <c r="H123" i="1"/>
  <c r="H54" i="1"/>
  <c r="F145" i="1"/>
  <c r="H132" i="1"/>
  <c r="F116" i="1"/>
  <c r="H96" i="1"/>
  <c r="F26" i="1"/>
  <c r="F101" i="1" l="1"/>
  <c r="F115" i="1"/>
  <c r="F121" i="1"/>
  <c r="F17" i="1"/>
  <c r="F93" i="1"/>
  <c r="F94" i="1"/>
  <c r="F123" i="1"/>
  <c r="F128" i="1"/>
  <c r="F15" i="1"/>
  <c r="F149" i="1"/>
  <c r="F99" i="1"/>
  <c r="F34" i="1"/>
  <c r="F109" i="1"/>
  <c r="F147" i="1"/>
  <c r="F105" i="1"/>
  <c r="F127" i="1"/>
  <c r="F89" i="1"/>
  <c r="F122" i="1"/>
  <c r="F13" i="1"/>
  <c r="F117" i="1"/>
  <c r="F152" i="1"/>
  <c r="F102" i="1" l="1"/>
  <c r="G135" i="1"/>
  <c r="G139" i="1"/>
  <c r="G133" i="1"/>
  <c r="G123" i="1"/>
  <c r="G145" i="1"/>
  <c r="G122" i="1"/>
  <c r="G110" i="1"/>
  <c r="G94" i="1"/>
  <c r="G124" i="1"/>
  <c r="G20" i="1"/>
  <c r="G153" i="1"/>
  <c r="G17" i="1"/>
  <c r="G103" i="1"/>
  <c r="G125" i="1"/>
  <c r="G147" i="1"/>
  <c r="G93" i="1"/>
  <c r="G18" i="1"/>
  <c r="G29" i="1"/>
  <c r="F118" i="1"/>
  <c r="G27" i="1"/>
  <c r="G146" i="1"/>
  <c r="G33" i="1"/>
  <c r="G148" i="1"/>
  <c r="G121" i="1"/>
  <c r="F92" i="1"/>
  <c r="G44" i="1"/>
  <c r="G43" i="1"/>
  <c r="G15" i="1"/>
  <c r="F111" i="1"/>
  <c r="F133" i="1"/>
  <c r="G136" i="1"/>
  <c r="G126" i="1"/>
  <c r="G13" i="1"/>
  <c r="G92" i="1"/>
  <c r="G140" i="1"/>
  <c r="G100" i="1"/>
  <c r="G48" i="1"/>
  <c r="G19" i="1"/>
  <c r="G105" i="1"/>
  <c r="G149" i="1"/>
  <c r="G102" i="1"/>
  <c r="G111" i="1"/>
  <c r="F103" i="1"/>
  <c r="F129" i="1"/>
  <c r="G99" i="1"/>
  <c r="G141" i="1"/>
  <c r="G104" i="1"/>
  <c r="G96" i="1"/>
  <c r="G108" i="1"/>
  <c r="G101" i="1"/>
  <c r="F96" i="1"/>
  <c r="G95" i="1"/>
  <c r="G142" i="1"/>
  <c r="G90" i="1"/>
  <c r="G116" i="1"/>
  <c r="G31" i="1"/>
  <c r="G21" i="1"/>
  <c r="G109" i="1"/>
  <c r="G129" i="1"/>
  <c r="G26" i="1"/>
  <c r="G134" i="1"/>
  <c r="G91" i="1"/>
  <c r="G114" i="1"/>
  <c r="G152" i="1"/>
  <c r="G118" i="1"/>
  <c r="G32" i="1"/>
  <c r="G115" i="1"/>
  <c r="F132" i="1"/>
  <c r="G128" i="1"/>
  <c r="G46" i="1"/>
  <c r="G16" i="1"/>
  <c r="G30" i="1"/>
  <c r="G132" i="1"/>
  <c r="G89" i="1"/>
  <c r="G117" i="1"/>
  <c r="F100" i="1"/>
  <c r="A12" i="23" l="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A103" i="23" s="1"/>
  <c r="A104" i="23" s="1"/>
  <c r="A105" i="23" s="1"/>
  <c r="A106" i="23" s="1"/>
  <c r="A107" i="23" s="1"/>
  <c r="A108" i="23" s="1"/>
  <c r="A109" i="23" s="1"/>
  <c r="A110" i="23" s="1"/>
  <c r="A111" i="23" s="1"/>
  <c r="A112" i="23" s="1"/>
  <c r="A113" i="23" s="1"/>
  <c r="A114" i="23" s="1"/>
  <c r="A115" i="23" s="1"/>
  <c r="A116" i="23" s="1"/>
  <c r="A117" i="23" s="1"/>
  <c r="A118" i="23" s="1"/>
  <c r="A119" i="23" s="1"/>
  <c r="A120" i="23" s="1"/>
  <c r="A121" i="23" s="1"/>
  <c r="A122" i="23" s="1"/>
  <c r="A123" i="23" s="1"/>
  <c r="A124" i="23" s="1"/>
  <c r="A125" i="23" s="1"/>
  <c r="A126" i="23" s="1"/>
  <c r="A127" i="23" s="1"/>
  <c r="A128" i="23" s="1"/>
  <c r="A129" i="23" s="1"/>
  <c r="A130" i="23" s="1"/>
  <c r="A131" i="23" s="1"/>
  <c r="A132" i="23" s="1"/>
  <c r="A133" i="23" s="1"/>
  <c r="A134" i="23" s="1"/>
  <c r="A135" i="23" s="1"/>
  <c r="A136" i="23" s="1"/>
  <c r="A137" i="23" s="1"/>
  <c r="A138" i="23" s="1"/>
  <c r="A139" i="23" s="1"/>
  <c r="A140" i="23" s="1"/>
  <c r="A141" i="23" s="1"/>
  <c r="A142" i="23" s="1"/>
  <c r="A143" i="23" s="1"/>
  <c r="A144" i="23" s="1"/>
  <c r="A145" i="23" s="1"/>
  <c r="A146" i="23" s="1"/>
  <c r="A147" i="23" s="1"/>
  <c r="A148" i="23" s="1"/>
  <c r="A149" i="23" s="1"/>
  <c r="A150" i="23" s="1"/>
  <c r="A151" i="23" s="1"/>
  <c r="A152" i="23" s="1"/>
  <c r="A153" i="23" s="1"/>
  <c r="A154" i="23" s="1"/>
  <c r="A155" i="23" s="1"/>
  <c r="A156" i="23" s="1"/>
  <c r="A12" i="24"/>
  <c r="A12" i="22"/>
  <c r="A12" i="1"/>
  <c r="J154" i="22"/>
  <c r="F154" i="22"/>
  <c r="H154" i="22" s="1"/>
  <c r="F154" i="23" s="1"/>
  <c r="H154" i="23" s="1"/>
  <c r="F154" i="24" s="1"/>
  <c r="H154" i="24" s="1"/>
  <c r="J153" i="22"/>
  <c r="F153" i="22"/>
  <c r="H153" i="22" s="1"/>
  <c r="F153" i="23" s="1"/>
  <c r="H153" i="23" s="1"/>
  <c r="F153" i="24" s="1"/>
  <c r="H153" i="24" s="1"/>
  <c r="J152" i="22"/>
  <c r="F152" i="22"/>
  <c r="H152" i="22" s="1"/>
  <c r="F152" i="23" s="1"/>
  <c r="H152" i="23" s="1"/>
  <c r="F152" i="24" s="1"/>
  <c r="H152" i="24" s="1"/>
  <c r="J149" i="22"/>
  <c r="F149" i="22"/>
  <c r="H149" i="22" s="1"/>
  <c r="F149" i="23" s="1"/>
  <c r="H149" i="23" s="1"/>
  <c r="F149" i="24" s="1"/>
  <c r="H149" i="24" s="1"/>
  <c r="J148" i="22"/>
  <c r="F148" i="22"/>
  <c r="H148" i="22" s="1"/>
  <c r="F148" i="23" s="1"/>
  <c r="H148" i="23" s="1"/>
  <c r="F148" i="24" s="1"/>
  <c r="H148" i="24" s="1"/>
  <c r="J147" i="22"/>
  <c r="F147" i="22"/>
  <c r="H147" i="22" s="1"/>
  <c r="F147" i="23" s="1"/>
  <c r="H147" i="23" s="1"/>
  <c r="F147" i="24" s="1"/>
  <c r="H147" i="24" s="1"/>
  <c r="J146" i="22"/>
  <c r="F146" i="22"/>
  <c r="H146" i="22" s="1"/>
  <c r="F146" i="23" s="1"/>
  <c r="H146" i="23" s="1"/>
  <c r="F146" i="24" s="1"/>
  <c r="H146" i="24" s="1"/>
  <c r="J145" i="22"/>
  <c r="F145" i="22"/>
  <c r="H145" i="22" s="1"/>
  <c r="F145" i="23" s="1"/>
  <c r="H145" i="23" s="1"/>
  <c r="F145" i="24" s="1"/>
  <c r="H145" i="24" s="1"/>
  <c r="J142" i="22"/>
  <c r="F142" i="22"/>
  <c r="H142" i="22" s="1"/>
  <c r="F142" i="23" s="1"/>
  <c r="H142" i="23" s="1"/>
  <c r="F142" i="24" s="1"/>
  <c r="H142" i="24" s="1"/>
  <c r="J141" i="22"/>
  <c r="F141" i="22"/>
  <c r="H141" i="22" s="1"/>
  <c r="F141" i="23" s="1"/>
  <c r="H141" i="23" s="1"/>
  <c r="F141" i="24" s="1"/>
  <c r="H141" i="24" s="1"/>
  <c r="J140" i="22"/>
  <c r="F140" i="22"/>
  <c r="H140" i="22" s="1"/>
  <c r="F140" i="23" s="1"/>
  <c r="H140" i="23" s="1"/>
  <c r="F140" i="24" s="1"/>
  <c r="H140" i="24" s="1"/>
  <c r="J139" i="22"/>
  <c r="F139" i="22"/>
  <c r="H139" i="22" s="1"/>
  <c r="F139" i="23" s="1"/>
  <c r="H139" i="23" s="1"/>
  <c r="F139" i="24" s="1"/>
  <c r="H139" i="24" s="1"/>
  <c r="J136" i="22"/>
  <c r="F136" i="22"/>
  <c r="H136" i="22" s="1"/>
  <c r="F136" i="23" s="1"/>
  <c r="H136" i="23" s="1"/>
  <c r="F136" i="24" s="1"/>
  <c r="H136" i="24" s="1"/>
  <c r="J135" i="22"/>
  <c r="F135" i="22"/>
  <c r="H135" i="22" s="1"/>
  <c r="F135" i="23" s="1"/>
  <c r="H135" i="23" s="1"/>
  <c r="F135" i="24" s="1"/>
  <c r="H135" i="24" s="1"/>
  <c r="J134" i="22"/>
  <c r="F134" i="22"/>
  <c r="H134" i="22" s="1"/>
  <c r="F134" i="23" s="1"/>
  <c r="H134" i="23" s="1"/>
  <c r="F134" i="24" s="1"/>
  <c r="H134" i="24" s="1"/>
  <c r="J133" i="22"/>
  <c r="F133" i="22"/>
  <c r="H133" i="22" s="1"/>
  <c r="F133" i="23" s="1"/>
  <c r="H133" i="23" s="1"/>
  <c r="F133" i="24" s="1"/>
  <c r="H133" i="24" s="1"/>
  <c r="J132" i="22"/>
  <c r="F132" i="22"/>
  <c r="H132" i="22" s="1"/>
  <c r="F132" i="23" s="1"/>
  <c r="H132" i="23" s="1"/>
  <c r="F132" i="24" s="1"/>
  <c r="H132" i="24" s="1"/>
  <c r="J129" i="22"/>
  <c r="F129" i="22"/>
  <c r="H129" i="22" s="1"/>
  <c r="F129" i="23" s="1"/>
  <c r="H129" i="23" s="1"/>
  <c r="F129" i="24" s="1"/>
  <c r="H129" i="24" s="1"/>
  <c r="J128" i="22"/>
  <c r="F128" i="22"/>
  <c r="H128" i="22" s="1"/>
  <c r="F128" i="23" s="1"/>
  <c r="H128" i="23" s="1"/>
  <c r="F128" i="24" s="1"/>
  <c r="H128" i="24" s="1"/>
  <c r="J126" i="22"/>
  <c r="F126" i="22"/>
  <c r="H126" i="22" s="1"/>
  <c r="F126" i="23" s="1"/>
  <c r="H126" i="23" s="1"/>
  <c r="F126" i="24" s="1"/>
  <c r="H126" i="24" s="1"/>
  <c r="J125" i="22"/>
  <c r="F125" i="22"/>
  <c r="H125" i="22" s="1"/>
  <c r="F125" i="23" s="1"/>
  <c r="H125" i="23" s="1"/>
  <c r="F125" i="24" s="1"/>
  <c r="H125" i="24" s="1"/>
  <c r="J124" i="22"/>
  <c r="F124" i="22"/>
  <c r="H124" i="22" s="1"/>
  <c r="F124" i="23" s="1"/>
  <c r="H124" i="23" s="1"/>
  <c r="F124" i="24" s="1"/>
  <c r="H124" i="24" s="1"/>
  <c r="J123" i="22"/>
  <c r="F123" i="22"/>
  <c r="H123" i="22" s="1"/>
  <c r="F123" i="23" s="1"/>
  <c r="H123" i="23" s="1"/>
  <c r="F123" i="24" s="1"/>
  <c r="H123" i="24" s="1"/>
  <c r="J122" i="22"/>
  <c r="F122" i="22"/>
  <c r="H122" i="22" s="1"/>
  <c r="F122" i="23" s="1"/>
  <c r="H122" i="23" s="1"/>
  <c r="F122" i="24" s="1"/>
  <c r="H122" i="24" s="1"/>
  <c r="J121" i="22"/>
  <c r="F121" i="22"/>
  <c r="H121" i="22" s="1"/>
  <c r="F121" i="23" s="1"/>
  <c r="H121" i="23" s="1"/>
  <c r="F121" i="24" s="1"/>
  <c r="H121" i="24" s="1"/>
  <c r="J118" i="22"/>
  <c r="F118" i="22"/>
  <c r="H118" i="22" s="1"/>
  <c r="F118" i="23" s="1"/>
  <c r="H118" i="23" s="1"/>
  <c r="F118" i="24" s="1"/>
  <c r="H118" i="24" s="1"/>
  <c r="J117" i="22"/>
  <c r="F117" i="22"/>
  <c r="H117" i="22" s="1"/>
  <c r="F117" i="23" s="1"/>
  <c r="H117" i="23" s="1"/>
  <c r="F117" i="24" s="1"/>
  <c r="H117" i="24" s="1"/>
  <c r="J116" i="22"/>
  <c r="F116" i="22"/>
  <c r="H116" i="22" s="1"/>
  <c r="F116" i="23" s="1"/>
  <c r="H116" i="23" s="1"/>
  <c r="F116" i="24" s="1"/>
  <c r="H116" i="24" s="1"/>
  <c r="J115" i="22"/>
  <c r="F115" i="22"/>
  <c r="H115" i="22" s="1"/>
  <c r="F115" i="23" s="1"/>
  <c r="H115" i="23" s="1"/>
  <c r="F115" i="24" s="1"/>
  <c r="H115" i="24" s="1"/>
  <c r="J114" i="22"/>
  <c r="F114" i="22"/>
  <c r="H114" i="22" s="1"/>
  <c r="F114" i="23" s="1"/>
  <c r="H114" i="23" s="1"/>
  <c r="F114" i="24" s="1"/>
  <c r="H114" i="24" s="1"/>
  <c r="J111" i="22"/>
  <c r="F111" i="22"/>
  <c r="H111" i="22" s="1"/>
  <c r="F111" i="23" s="1"/>
  <c r="H111" i="23" s="1"/>
  <c r="F111" i="24" s="1"/>
  <c r="H111" i="24" s="1"/>
  <c r="J110" i="22"/>
  <c r="F110" i="22"/>
  <c r="H110" i="22" s="1"/>
  <c r="F110" i="23" s="1"/>
  <c r="H110" i="23" s="1"/>
  <c r="F110" i="24" s="1"/>
  <c r="H110" i="24" s="1"/>
  <c r="J109" i="22"/>
  <c r="F109" i="22"/>
  <c r="H109" i="22" s="1"/>
  <c r="F109" i="23" s="1"/>
  <c r="H109" i="23" s="1"/>
  <c r="F109" i="24" s="1"/>
  <c r="H109" i="24" s="1"/>
  <c r="J108" i="22"/>
  <c r="F108" i="22"/>
  <c r="H108" i="22" s="1"/>
  <c r="F108" i="23" s="1"/>
  <c r="H108" i="23" s="1"/>
  <c r="F108" i="24" s="1"/>
  <c r="H108" i="24" s="1"/>
  <c r="J105" i="22"/>
  <c r="F105" i="22"/>
  <c r="H105" i="22" s="1"/>
  <c r="F105" i="23" s="1"/>
  <c r="H105" i="23" s="1"/>
  <c r="F105" i="24" s="1"/>
  <c r="H105" i="24" s="1"/>
  <c r="J104" i="22"/>
  <c r="F104" i="22"/>
  <c r="H104" i="22" s="1"/>
  <c r="F104" i="23" s="1"/>
  <c r="H104" i="23" s="1"/>
  <c r="F104" i="24" s="1"/>
  <c r="H104" i="24" s="1"/>
  <c r="J103" i="22"/>
  <c r="F103" i="22"/>
  <c r="H103" i="22" s="1"/>
  <c r="F103" i="23" s="1"/>
  <c r="H103" i="23" s="1"/>
  <c r="F103" i="24" s="1"/>
  <c r="H103" i="24" s="1"/>
  <c r="J102" i="22"/>
  <c r="F102" i="22"/>
  <c r="H102" i="22" s="1"/>
  <c r="F102" i="23" s="1"/>
  <c r="H102" i="23" s="1"/>
  <c r="F102" i="24" s="1"/>
  <c r="H102" i="24" s="1"/>
  <c r="J101" i="22"/>
  <c r="F101" i="22"/>
  <c r="H101" i="22" s="1"/>
  <c r="F101" i="23" s="1"/>
  <c r="H101" i="23" s="1"/>
  <c r="F101" i="24" s="1"/>
  <c r="H101" i="24" s="1"/>
  <c r="J100" i="22"/>
  <c r="F100" i="22"/>
  <c r="H100" i="22" s="1"/>
  <c r="F100" i="23" s="1"/>
  <c r="H100" i="23" s="1"/>
  <c r="F100" i="24" s="1"/>
  <c r="H100" i="24" s="1"/>
  <c r="J99" i="22"/>
  <c r="F99" i="22"/>
  <c r="H99" i="22" s="1"/>
  <c r="F99" i="23" s="1"/>
  <c r="H99" i="23" s="1"/>
  <c r="F99" i="24" s="1"/>
  <c r="H99" i="24" s="1"/>
  <c r="J96" i="22"/>
  <c r="F96" i="22"/>
  <c r="H96" i="22" s="1"/>
  <c r="F96" i="23" s="1"/>
  <c r="H96" i="23" s="1"/>
  <c r="F96" i="24" s="1"/>
  <c r="H96" i="24" s="1"/>
  <c r="J95" i="22"/>
  <c r="F95" i="22"/>
  <c r="H95" i="22" s="1"/>
  <c r="F95" i="23" s="1"/>
  <c r="H95" i="23" s="1"/>
  <c r="F95" i="24" s="1"/>
  <c r="H95" i="24" s="1"/>
  <c r="J94" i="22"/>
  <c r="F94" i="22"/>
  <c r="H94" i="22" s="1"/>
  <c r="F94" i="23" s="1"/>
  <c r="H94" i="23" s="1"/>
  <c r="F94" i="24" s="1"/>
  <c r="H94" i="24" s="1"/>
  <c r="J93" i="22"/>
  <c r="F93" i="22"/>
  <c r="H93" i="22" s="1"/>
  <c r="F93" i="23" s="1"/>
  <c r="H93" i="23" s="1"/>
  <c r="F93" i="24" s="1"/>
  <c r="H93" i="24" s="1"/>
  <c r="J92" i="22"/>
  <c r="F92" i="22"/>
  <c r="H92" i="22" s="1"/>
  <c r="F92" i="23" s="1"/>
  <c r="H92" i="23" s="1"/>
  <c r="F92" i="24" s="1"/>
  <c r="H92" i="24" s="1"/>
  <c r="J91" i="22"/>
  <c r="F91" i="22"/>
  <c r="H91" i="22" s="1"/>
  <c r="F91" i="23" s="1"/>
  <c r="H91" i="23" s="1"/>
  <c r="F91" i="24" s="1"/>
  <c r="H91" i="24" s="1"/>
  <c r="J90" i="22"/>
  <c r="F90" i="22"/>
  <c r="H90" i="22" s="1"/>
  <c r="F90" i="23" s="1"/>
  <c r="H90" i="23" s="1"/>
  <c r="F90" i="24" s="1"/>
  <c r="H90" i="24" s="1"/>
  <c r="J89" i="22"/>
  <c r="F89" i="22"/>
  <c r="H89" i="22" s="1"/>
  <c r="F89" i="23" s="1"/>
  <c r="H89" i="23" s="1"/>
  <c r="F89" i="24" s="1"/>
  <c r="H89" i="24" s="1"/>
  <c r="J84" i="22"/>
  <c r="F84" i="22"/>
  <c r="H84" i="22" s="1"/>
  <c r="F84" i="23" s="1"/>
  <c r="H84" i="23" s="1"/>
  <c r="F84" i="24" s="1"/>
  <c r="H84" i="24" s="1"/>
  <c r="J83" i="22"/>
  <c r="F83" i="22"/>
  <c r="H83" i="22" s="1"/>
  <c r="F83" i="23" s="1"/>
  <c r="H83" i="23" s="1"/>
  <c r="F83" i="24" s="1"/>
  <c r="H83" i="24" s="1"/>
  <c r="J79" i="22"/>
  <c r="F79" i="22"/>
  <c r="H79" i="22" s="1"/>
  <c r="F79" i="23" s="1"/>
  <c r="H79" i="23" s="1"/>
  <c r="F79" i="24" s="1"/>
  <c r="H79" i="24" s="1"/>
  <c r="J78" i="22"/>
  <c r="F78" i="22"/>
  <c r="H78" i="22" s="1"/>
  <c r="F78" i="23" s="1"/>
  <c r="H78" i="23" s="1"/>
  <c r="F78" i="24" s="1"/>
  <c r="H78" i="24" s="1"/>
  <c r="J77" i="22"/>
  <c r="F77" i="22"/>
  <c r="H77" i="22" s="1"/>
  <c r="F77" i="23" s="1"/>
  <c r="H77" i="23" s="1"/>
  <c r="F77" i="24" s="1"/>
  <c r="H77" i="24" s="1"/>
  <c r="J76" i="22"/>
  <c r="F76" i="22"/>
  <c r="H76" i="22" s="1"/>
  <c r="F76" i="23" s="1"/>
  <c r="H76" i="23" s="1"/>
  <c r="F76" i="24" s="1"/>
  <c r="H76" i="24" s="1"/>
  <c r="J75" i="22"/>
  <c r="J74" i="22"/>
  <c r="J73" i="22"/>
  <c r="J72" i="22"/>
  <c r="J71" i="22"/>
  <c r="J70" i="22"/>
  <c r="J69" i="22"/>
  <c r="J68" i="22"/>
  <c r="J67" i="22"/>
  <c r="J65" i="22"/>
  <c r="J64" i="22"/>
  <c r="J63" i="22"/>
  <c r="J62" i="22"/>
  <c r="J61" i="22"/>
  <c r="J60" i="22"/>
  <c r="J59" i="22"/>
  <c r="J58" i="22"/>
  <c r="J56" i="22"/>
  <c r="J55" i="22"/>
  <c r="J54" i="22"/>
  <c r="J53" i="22"/>
  <c r="J51" i="22"/>
  <c r="J50" i="22"/>
  <c r="J48" i="22"/>
  <c r="L48" i="22" s="1"/>
  <c r="J48" i="23" s="1"/>
  <c r="L48" i="23" s="1"/>
  <c r="J48" i="24" s="1"/>
  <c r="L48" i="24" s="1"/>
  <c r="F48" i="22"/>
  <c r="H48" i="22" s="1"/>
  <c r="F48" i="23" s="1"/>
  <c r="H48" i="23" s="1"/>
  <c r="F48" i="24" s="1"/>
  <c r="H48" i="24" s="1"/>
  <c r="F47" i="22"/>
  <c r="H47" i="22" s="1"/>
  <c r="F47" i="23" s="1"/>
  <c r="H47" i="23" s="1"/>
  <c r="F47" i="24" s="1"/>
  <c r="H47" i="24" s="1"/>
  <c r="J46" i="22"/>
  <c r="F46" i="22"/>
  <c r="H46" i="22" s="1"/>
  <c r="F46" i="23" s="1"/>
  <c r="H46" i="23" s="1"/>
  <c r="F46" i="24" s="1"/>
  <c r="H46" i="24" s="1"/>
  <c r="J44" i="22"/>
  <c r="F44" i="22"/>
  <c r="H44" i="22" s="1"/>
  <c r="F44" i="23" s="1"/>
  <c r="H44" i="23" s="1"/>
  <c r="F44" i="24" s="1"/>
  <c r="H44" i="24" s="1"/>
  <c r="F43" i="22"/>
  <c r="H43" i="22" s="1"/>
  <c r="F43" i="23" s="1"/>
  <c r="H43" i="23" s="1"/>
  <c r="F43" i="24" s="1"/>
  <c r="H43" i="24" s="1"/>
  <c r="J38" i="22"/>
  <c r="F38" i="22"/>
  <c r="H38" i="22" s="1"/>
  <c r="F38" i="23" s="1"/>
  <c r="H38" i="23" s="1"/>
  <c r="F38" i="24" s="1"/>
  <c r="H38" i="24" s="1"/>
  <c r="J37" i="22"/>
  <c r="F37" i="22"/>
  <c r="H37" i="22" s="1"/>
  <c r="F37" i="23" s="1"/>
  <c r="H37" i="23" s="1"/>
  <c r="F37" i="24" s="1"/>
  <c r="H37" i="24" s="1"/>
  <c r="J36" i="22"/>
  <c r="F36" i="22"/>
  <c r="H36" i="22" s="1"/>
  <c r="F36" i="23" s="1"/>
  <c r="H36" i="23" s="1"/>
  <c r="F36" i="24" s="1"/>
  <c r="H36" i="24" s="1"/>
  <c r="J35" i="22"/>
  <c r="F35" i="22"/>
  <c r="H35" i="22" s="1"/>
  <c r="F35" i="23" s="1"/>
  <c r="H35" i="23" s="1"/>
  <c r="F35" i="24" s="1"/>
  <c r="H35" i="24" s="1"/>
  <c r="J34" i="22"/>
  <c r="J33" i="22"/>
  <c r="F33" i="22"/>
  <c r="H33" i="22" s="1"/>
  <c r="F33" i="23" s="1"/>
  <c r="H33" i="23" s="1"/>
  <c r="F33" i="24" s="1"/>
  <c r="H33" i="24" s="1"/>
  <c r="J32" i="22"/>
  <c r="F32" i="22"/>
  <c r="H32" i="22" s="1"/>
  <c r="F32" i="23" s="1"/>
  <c r="H32" i="23" s="1"/>
  <c r="F32" i="24" s="1"/>
  <c r="H32" i="24" s="1"/>
  <c r="J31" i="22"/>
  <c r="F31" i="22"/>
  <c r="H31" i="22" s="1"/>
  <c r="F31" i="23" s="1"/>
  <c r="H31" i="23" s="1"/>
  <c r="F31" i="24" s="1"/>
  <c r="H31" i="24" s="1"/>
  <c r="F30" i="22"/>
  <c r="H30" i="22" s="1"/>
  <c r="F30" i="23" s="1"/>
  <c r="H30" i="23" s="1"/>
  <c r="F30" i="24" s="1"/>
  <c r="H30" i="24" s="1"/>
  <c r="J29" i="22"/>
  <c r="F29" i="22"/>
  <c r="H29" i="22" s="1"/>
  <c r="F29" i="23" s="1"/>
  <c r="H29" i="23" s="1"/>
  <c r="F29" i="24" s="1"/>
  <c r="H29" i="24" s="1"/>
  <c r="J27" i="22"/>
  <c r="F27" i="22"/>
  <c r="H27" i="22" s="1"/>
  <c r="F27" i="23" s="1"/>
  <c r="H27" i="23" s="1"/>
  <c r="F27" i="24" s="1"/>
  <c r="H27" i="24" s="1"/>
  <c r="F26" i="22"/>
  <c r="H26" i="22" s="1"/>
  <c r="F26" i="23" s="1"/>
  <c r="H26" i="23" s="1"/>
  <c r="F26" i="24" s="1"/>
  <c r="H26" i="24" s="1"/>
  <c r="J21" i="22"/>
  <c r="F21" i="22"/>
  <c r="H21" i="22" s="1"/>
  <c r="F21" i="23" s="1"/>
  <c r="H21" i="23" s="1"/>
  <c r="F21" i="24" s="1"/>
  <c r="H21" i="24" s="1"/>
  <c r="J20" i="22"/>
  <c r="F20" i="22"/>
  <c r="H20" i="22" s="1"/>
  <c r="F20" i="23" s="1"/>
  <c r="H20" i="23" s="1"/>
  <c r="F20" i="24" s="1"/>
  <c r="H20" i="24" s="1"/>
  <c r="J19" i="22"/>
  <c r="F19" i="22"/>
  <c r="H19" i="22" s="1"/>
  <c r="F19" i="23" s="1"/>
  <c r="H19" i="23" s="1"/>
  <c r="F19" i="24" s="1"/>
  <c r="H19" i="24" s="1"/>
  <c r="J18" i="22"/>
  <c r="F18" i="22"/>
  <c r="H18" i="22" s="1"/>
  <c r="F18" i="23" s="1"/>
  <c r="H18" i="23" s="1"/>
  <c r="F18" i="24" s="1"/>
  <c r="H18" i="24" s="1"/>
  <c r="F17" i="22"/>
  <c r="H17" i="22" s="1"/>
  <c r="F17" i="23" s="1"/>
  <c r="H17" i="23" s="1"/>
  <c r="F17" i="24" s="1"/>
  <c r="H17" i="24" s="1"/>
  <c r="J16" i="22"/>
  <c r="F16" i="22"/>
  <c r="H16" i="22" s="1"/>
  <c r="F16" i="23" s="1"/>
  <c r="H16" i="23" s="1"/>
  <c r="F16" i="24" s="1"/>
  <c r="H16" i="24" s="1"/>
  <c r="J15" i="22"/>
  <c r="F15" i="22"/>
  <c r="H15" i="22" s="1"/>
  <c r="F15" i="23" s="1"/>
  <c r="H15" i="23" s="1"/>
  <c r="F15" i="24" s="1"/>
  <c r="H15" i="24" s="1"/>
  <c r="J14" i="22"/>
  <c r="A13" i="24"/>
  <c r="A14" i="24" s="1"/>
  <c r="A15" i="24" s="1"/>
  <c r="A16" i="24" s="1"/>
  <c r="A17" i="24" s="1"/>
  <c r="A18" i="24" s="1"/>
  <c r="A19" i="24" s="1"/>
  <c r="A20" i="24" s="1"/>
  <c r="A21" i="24" s="1"/>
  <c r="A22" i="24" s="1"/>
  <c r="A23" i="24" s="1"/>
  <c r="A24" i="24" s="1"/>
  <c r="A25" i="24" s="1"/>
  <c r="A26" i="24" s="1"/>
  <c r="A27" i="24" s="1"/>
  <c r="A28" i="24" s="1"/>
  <c r="A29" i="24" s="1"/>
  <c r="A30" i="24" s="1"/>
  <c r="A31" i="24" s="1"/>
  <c r="A32" i="24" s="1"/>
  <c r="A33" i="24" s="1"/>
  <c r="A34" i="24" s="1"/>
  <c r="A35" i="24" s="1"/>
  <c r="A36" i="24" s="1"/>
  <c r="A37" i="24" s="1"/>
  <c r="A38" i="24" s="1"/>
  <c r="A39" i="24" s="1"/>
  <c r="A40" i="24" s="1"/>
  <c r="A41" i="24" s="1"/>
  <c r="A42" i="24" s="1"/>
  <c r="A43" i="24" s="1"/>
  <c r="A44" i="24" s="1"/>
  <c r="A45" i="24" s="1"/>
  <c r="A46" i="24" s="1"/>
  <c r="A47" i="24" s="1"/>
  <c r="A48" i="24" s="1"/>
  <c r="A49" i="24" s="1"/>
  <c r="A50" i="24" s="1"/>
  <c r="A51" i="24" s="1"/>
  <c r="A52" i="24" s="1"/>
  <c r="A53" i="24" s="1"/>
  <c r="A54" i="24" s="1"/>
  <c r="A55" i="24" s="1"/>
  <c r="A56" i="24" s="1"/>
  <c r="A57" i="24" s="1"/>
  <c r="A58" i="24" s="1"/>
  <c r="A59" i="24" s="1"/>
  <c r="A60" i="24" s="1"/>
  <c r="A61" i="24" s="1"/>
  <c r="A62" i="24" s="1"/>
  <c r="A63" i="24" s="1"/>
  <c r="A64" i="24" s="1"/>
  <c r="A65" i="24" s="1"/>
  <c r="A66" i="24" s="1"/>
  <c r="A67" i="24" s="1"/>
  <c r="A68" i="24" s="1"/>
  <c r="A69" i="24" s="1"/>
  <c r="A70" i="24" s="1"/>
  <c r="A71" i="24" s="1"/>
  <c r="A72" i="24" s="1"/>
  <c r="A73" i="24" s="1"/>
  <c r="A74" i="24" s="1"/>
  <c r="A75" i="24" s="1"/>
  <c r="A76" i="24" s="1"/>
  <c r="A77" i="24" s="1"/>
  <c r="A78" i="24" s="1"/>
  <c r="A79" i="24" s="1"/>
  <c r="A80" i="24" s="1"/>
  <c r="A81" i="24" s="1"/>
  <c r="A82" i="24" s="1"/>
  <c r="A83" i="24" s="1"/>
  <c r="A84" i="24" s="1"/>
  <c r="A85" i="24" s="1"/>
  <c r="A86" i="24" s="1"/>
  <c r="A87" i="24" s="1"/>
  <c r="A88" i="24" s="1"/>
  <c r="A89" i="24" s="1"/>
  <c r="A90" i="24" s="1"/>
  <c r="A91" i="24" s="1"/>
  <c r="A92" i="24" s="1"/>
  <c r="A93" i="24" s="1"/>
  <c r="A94" i="24" s="1"/>
  <c r="A95" i="24" s="1"/>
  <c r="A96" i="24" s="1"/>
  <c r="A97" i="24" s="1"/>
  <c r="A98" i="24" s="1"/>
  <c r="A99" i="24" s="1"/>
  <c r="A100" i="24" s="1"/>
  <c r="A101" i="24" s="1"/>
  <c r="A102" i="24" s="1"/>
  <c r="A103" i="24" s="1"/>
  <c r="A104" i="24" s="1"/>
  <c r="A105" i="24" s="1"/>
  <c r="A106" i="24" s="1"/>
  <c r="A107" i="24" s="1"/>
  <c r="A108" i="24" s="1"/>
  <c r="A109" i="24" s="1"/>
  <c r="A110" i="24" s="1"/>
  <c r="A111" i="24" s="1"/>
  <c r="A112" i="24" s="1"/>
  <c r="A113" i="24" s="1"/>
  <c r="A114" i="24" s="1"/>
  <c r="A115" i="24" s="1"/>
  <c r="A116" i="24" s="1"/>
  <c r="A117" i="24" s="1"/>
  <c r="A118" i="24" s="1"/>
  <c r="A119" i="24" s="1"/>
  <c r="A120" i="24" s="1"/>
  <c r="A121" i="24" s="1"/>
  <c r="A122" i="24" s="1"/>
  <c r="A123" i="24" s="1"/>
  <c r="A124" i="24" s="1"/>
  <c r="A125" i="24" s="1"/>
  <c r="A126" i="24" s="1"/>
  <c r="A127" i="24" s="1"/>
  <c r="A128" i="24" s="1"/>
  <c r="A129" i="24" s="1"/>
  <c r="A130" i="24" s="1"/>
  <c r="A131" i="24" s="1"/>
  <c r="A132" i="24" s="1"/>
  <c r="A133" i="24" s="1"/>
  <c r="A134" i="24" s="1"/>
  <c r="A135" i="24" s="1"/>
  <c r="A136" i="24" s="1"/>
  <c r="A137" i="24" s="1"/>
  <c r="A138" i="24" s="1"/>
  <c r="A139" i="24" s="1"/>
  <c r="A140" i="24" s="1"/>
  <c r="A141" i="24" s="1"/>
  <c r="A142" i="24" s="1"/>
  <c r="A143" i="24" s="1"/>
  <c r="A144" i="24" s="1"/>
  <c r="A145" i="24" s="1"/>
  <c r="A146" i="24" s="1"/>
  <c r="A147" i="24" s="1"/>
  <c r="A148" i="24" s="1"/>
  <c r="A149" i="24" s="1"/>
  <c r="A150" i="24" s="1"/>
  <c r="A151" i="24" s="1"/>
  <c r="A152" i="24" s="1"/>
  <c r="A153" i="24" s="1"/>
  <c r="A154" i="24" s="1"/>
  <c r="A155" i="24" s="1"/>
  <c r="A156" i="24" s="1"/>
  <c r="A13" i="22"/>
  <c r="A14" i="22" s="1"/>
  <c r="A15" i="22" s="1"/>
  <c r="A16" i="22" s="1"/>
  <c r="A17" i="22" s="1"/>
  <c r="A18" i="22" s="1"/>
  <c r="A19" i="22" s="1"/>
  <c r="A20" i="22" s="1"/>
  <c r="A21" i="22" s="1"/>
  <c r="A22" i="22" s="1"/>
  <c r="A23" i="22" s="1"/>
  <c r="A24" i="22" s="1"/>
  <c r="A25" i="22" s="1"/>
  <c r="A26" i="22" s="1"/>
  <c r="A27" i="22" s="1"/>
  <c r="A28" i="22" s="1"/>
  <c r="A29" i="22" s="1"/>
  <c r="A30" i="22" s="1"/>
  <c r="A31" i="22" s="1"/>
  <c r="A32" i="22" s="1"/>
  <c r="A33" i="22" s="1"/>
  <c r="A34" i="22" s="1"/>
  <c r="A35" i="22" s="1"/>
  <c r="A36" i="22" s="1"/>
  <c r="A37" i="22" s="1"/>
  <c r="A38" i="22" s="1"/>
  <c r="A39" i="22" s="1"/>
  <c r="A40" i="22" s="1"/>
  <c r="A41" i="22" s="1"/>
  <c r="A42" i="22" s="1"/>
  <c r="A43" i="22" s="1"/>
  <c r="A44" i="22" s="1"/>
  <c r="A45" i="22" s="1"/>
  <c r="A46" i="22" s="1"/>
  <c r="A47" i="22" s="1"/>
  <c r="A48" i="22" s="1"/>
  <c r="A49" i="22" s="1"/>
  <c r="A50" i="22" s="1"/>
  <c r="A51" i="22" s="1"/>
  <c r="A52" i="22" s="1"/>
  <c r="A53" i="22" s="1"/>
  <c r="A54" i="22" s="1"/>
  <c r="A55" i="22" s="1"/>
  <c r="A56" i="22" s="1"/>
  <c r="A57" i="22" s="1"/>
  <c r="A58" i="22" s="1"/>
  <c r="A59" i="22" s="1"/>
  <c r="A60" i="22" s="1"/>
  <c r="A61" i="22" s="1"/>
  <c r="A62" i="22" s="1"/>
  <c r="A63" i="22" s="1"/>
  <c r="A64" i="22" s="1"/>
  <c r="A65" i="22" s="1"/>
  <c r="A66" i="22" s="1"/>
  <c r="A67" i="22" s="1"/>
  <c r="A68" i="22" s="1"/>
  <c r="A69" i="22" s="1"/>
  <c r="A70" i="22" s="1"/>
  <c r="A71" i="22" s="1"/>
  <c r="A72" i="22" s="1"/>
  <c r="A73" i="22" s="1"/>
  <c r="A74" i="22" s="1"/>
  <c r="A75" i="22" s="1"/>
  <c r="A76" i="22" s="1"/>
  <c r="A77" i="22" s="1"/>
  <c r="A78" i="22" s="1"/>
  <c r="A79" i="22" s="1"/>
  <c r="A80" i="22" s="1"/>
  <c r="A81" i="22" s="1"/>
  <c r="A82" i="22" s="1"/>
  <c r="A83" i="22" s="1"/>
  <c r="A84" i="22" s="1"/>
  <c r="A85" i="22" s="1"/>
  <c r="A86" i="22" s="1"/>
  <c r="A87" i="22" s="1"/>
  <c r="A88" i="22" s="1"/>
  <c r="A89" i="22" s="1"/>
  <c r="A90" i="22" s="1"/>
  <c r="A91" i="22" s="1"/>
  <c r="A92" i="22" s="1"/>
  <c r="A93" i="22" s="1"/>
  <c r="A94" i="22" s="1"/>
  <c r="A95" i="22" s="1"/>
  <c r="A96" i="22" s="1"/>
  <c r="A97" i="22" s="1"/>
  <c r="A98" i="22" s="1"/>
  <c r="A99" i="22" s="1"/>
  <c r="A100" i="22" s="1"/>
  <c r="A101" i="22" s="1"/>
  <c r="A102" i="22" s="1"/>
  <c r="A103" i="22" s="1"/>
  <c r="A104" i="22" s="1"/>
  <c r="A105" i="22" s="1"/>
  <c r="A106" i="22" s="1"/>
  <c r="A107" i="22" s="1"/>
  <c r="A108" i="22" s="1"/>
  <c r="A109" i="22" s="1"/>
  <c r="A110" i="22" s="1"/>
  <c r="A111" i="22" s="1"/>
  <c r="A112" i="22" s="1"/>
  <c r="A113" i="22" s="1"/>
  <c r="A114" i="22" s="1"/>
  <c r="A115" i="22" s="1"/>
  <c r="A116" i="22" s="1"/>
  <c r="A117" i="22" s="1"/>
  <c r="A118" i="22" s="1"/>
  <c r="A119" i="22" s="1"/>
  <c r="A120" i="22" s="1"/>
  <c r="A121" i="22" s="1"/>
  <c r="A122" i="22" s="1"/>
  <c r="A123" i="22" s="1"/>
  <c r="A124" i="22" s="1"/>
  <c r="A125" i="22" s="1"/>
  <c r="A126" i="22" s="1"/>
  <c r="A127" i="22" s="1"/>
  <c r="A128" i="22" s="1"/>
  <c r="A129" i="22" s="1"/>
  <c r="A130" i="22" s="1"/>
  <c r="A131" i="22" s="1"/>
  <c r="A132" i="22" s="1"/>
  <c r="A133" i="22" s="1"/>
  <c r="A134" i="22" s="1"/>
  <c r="A135" i="22" s="1"/>
  <c r="A136" i="22" s="1"/>
  <c r="A137" i="22" s="1"/>
  <c r="A138" i="22" s="1"/>
  <c r="A139" i="22" s="1"/>
  <c r="A140" i="22" s="1"/>
  <c r="A141" i="22" s="1"/>
  <c r="A142" i="22" s="1"/>
  <c r="A143" i="22" s="1"/>
  <c r="A144" i="22" s="1"/>
  <c r="A145" i="22" s="1"/>
  <c r="A146" i="22" s="1"/>
  <c r="A147" i="22" s="1"/>
  <c r="A148" i="22" s="1"/>
  <c r="A149" i="22" s="1"/>
  <c r="A150" i="22" s="1"/>
  <c r="A151" i="22" s="1"/>
  <c r="A152" i="22" s="1"/>
  <c r="A153" i="22" s="1"/>
  <c r="A154" i="22" s="1"/>
  <c r="A155" i="22" s="1"/>
  <c r="A156" i="22" s="1"/>
  <c r="A13" i="1" l="1"/>
  <c r="A14" i="1" s="1"/>
  <c r="A15" i="1" s="1"/>
  <c r="A16" i="1" s="1"/>
  <c r="A17" i="1" l="1"/>
  <c r="A18" i="1" s="1"/>
  <c r="A19" i="1" s="1"/>
  <c r="A20" i="1" s="1"/>
  <c r="A21" i="1" s="1"/>
  <c r="A22" i="1" s="1"/>
  <c r="A23" i="1" s="1"/>
  <c r="A24" i="1" s="1"/>
  <c r="A25" i="1" s="1"/>
  <c r="A26" i="1" s="1"/>
  <c r="S2" i="24"/>
  <c r="S2" i="23"/>
  <c r="S2" i="22"/>
  <c r="A27" i="1" l="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S4" i="24"/>
  <c r="M155" i="24"/>
  <c r="K155" i="24"/>
  <c r="I155" i="24"/>
  <c r="G155" i="24"/>
  <c r="Q154" i="24"/>
  <c r="O154" i="24"/>
  <c r="Q153" i="24"/>
  <c r="O153" i="24"/>
  <c r="Q152" i="24"/>
  <c r="O152" i="24"/>
  <c r="M150" i="24"/>
  <c r="K150" i="24"/>
  <c r="I150" i="24"/>
  <c r="G150" i="24"/>
  <c r="Q149" i="24"/>
  <c r="O149" i="24"/>
  <c r="Q148" i="24"/>
  <c r="O148" i="24"/>
  <c r="Q147" i="24"/>
  <c r="O147" i="24"/>
  <c r="Q146" i="24"/>
  <c r="O146" i="24"/>
  <c r="Q145" i="24"/>
  <c r="O145" i="24"/>
  <c r="M143" i="24"/>
  <c r="K143" i="24"/>
  <c r="I143" i="24"/>
  <c r="G143" i="24"/>
  <c r="Q142" i="24"/>
  <c r="O142" i="24"/>
  <c r="Q141" i="24"/>
  <c r="O141" i="24"/>
  <c r="Q140" i="24"/>
  <c r="O140" i="24"/>
  <c r="Q139" i="24"/>
  <c r="O139" i="24"/>
  <c r="M137" i="24"/>
  <c r="K137" i="24"/>
  <c r="I137" i="24"/>
  <c r="G137" i="24"/>
  <c r="Q136" i="24"/>
  <c r="O136" i="24"/>
  <c r="Q135" i="24"/>
  <c r="O135" i="24"/>
  <c r="Q134" i="24"/>
  <c r="O134" i="24"/>
  <c r="Q133" i="24"/>
  <c r="O133" i="24"/>
  <c r="Q132" i="24"/>
  <c r="O132" i="24"/>
  <c r="M130" i="24"/>
  <c r="K130" i="24"/>
  <c r="I130" i="24"/>
  <c r="G130" i="24"/>
  <c r="Q129" i="24"/>
  <c r="O129" i="24"/>
  <c r="Q128" i="24"/>
  <c r="O128" i="24"/>
  <c r="Q127" i="24"/>
  <c r="O127" i="24"/>
  <c r="Q126" i="24"/>
  <c r="O126" i="24"/>
  <c r="Q125" i="24"/>
  <c r="O125" i="24"/>
  <c r="Q124" i="24"/>
  <c r="O124" i="24"/>
  <c r="Q123" i="24"/>
  <c r="O123" i="24"/>
  <c r="Q122" i="24"/>
  <c r="O122" i="24"/>
  <c r="Q121" i="24"/>
  <c r="O121" i="24"/>
  <c r="M119" i="24"/>
  <c r="K119" i="24"/>
  <c r="I119" i="24"/>
  <c r="G119" i="24"/>
  <c r="Q118" i="24"/>
  <c r="O118" i="24"/>
  <c r="Q117" i="24"/>
  <c r="O117" i="24"/>
  <c r="Q116" i="24"/>
  <c r="O116" i="24"/>
  <c r="Q115" i="24"/>
  <c r="O115" i="24"/>
  <c r="Q114" i="24"/>
  <c r="O114" i="24"/>
  <c r="M112" i="24"/>
  <c r="K112" i="24"/>
  <c r="I112" i="24"/>
  <c r="G112" i="24"/>
  <c r="Q111" i="24"/>
  <c r="O111" i="24"/>
  <c r="Q110" i="24"/>
  <c r="O110" i="24"/>
  <c r="Q109" i="24"/>
  <c r="O109" i="24"/>
  <c r="Q108" i="24"/>
  <c r="O108" i="24"/>
  <c r="M106" i="24"/>
  <c r="K106" i="24"/>
  <c r="I106" i="24"/>
  <c r="G106" i="24"/>
  <c r="Q105" i="24"/>
  <c r="O105" i="24"/>
  <c r="Q104" i="24"/>
  <c r="O104" i="24"/>
  <c r="Q103" i="24"/>
  <c r="O103" i="24"/>
  <c r="Q102" i="24"/>
  <c r="O102" i="24"/>
  <c r="Q101" i="24"/>
  <c r="O101" i="24"/>
  <c r="Q100" i="24"/>
  <c r="O100" i="24"/>
  <c r="Q99" i="24"/>
  <c r="O99" i="24"/>
  <c r="M97" i="24"/>
  <c r="M156" i="24" s="1"/>
  <c r="K97" i="24"/>
  <c r="I97" i="24"/>
  <c r="G97" i="24"/>
  <c r="Q96" i="24"/>
  <c r="O96" i="24"/>
  <c r="Q95" i="24"/>
  <c r="O95" i="24"/>
  <c r="Q94" i="24"/>
  <c r="O94" i="24"/>
  <c r="Q93" i="24"/>
  <c r="O93" i="24"/>
  <c r="Q92" i="24"/>
  <c r="O92" i="24"/>
  <c r="Q91" i="24"/>
  <c r="O91" i="24"/>
  <c r="Q90" i="24"/>
  <c r="O90" i="24"/>
  <c r="Q89" i="24"/>
  <c r="O89" i="24"/>
  <c r="Q84" i="24"/>
  <c r="O84" i="24"/>
  <c r="Q83" i="24"/>
  <c r="O83" i="24"/>
  <c r="M80" i="24"/>
  <c r="K80" i="24"/>
  <c r="I80" i="24"/>
  <c r="G80" i="24"/>
  <c r="Q79" i="24"/>
  <c r="O79" i="24"/>
  <c r="Q78" i="24"/>
  <c r="O78" i="24"/>
  <c r="Q77" i="24"/>
  <c r="O77" i="24"/>
  <c r="Q76" i="24"/>
  <c r="O76" i="24"/>
  <c r="Q75" i="24"/>
  <c r="O75" i="24"/>
  <c r="Q74" i="24"/>
  <c r="O74" i="24"/>
  <c r="Q73" i="24"/>
  <c r="O73" i="24"/>
  <c r="Q72" i="24"/>
  <c r="O72" i="24"/>
  <c r="Q71" i="24"/>
  <c r="O71" i="24"/>
  <c r="Q70" i="24"/>
  <c r="O70" i="24"/>
  <c r="Q69" i="24"/>
  <c r="O69" i="24"/>
  <c r="Q68" i="24"/>
  <c r="O68" i="24"/>
  <c r="Q67" i="24"/>
  <c r="O67" i="24"/>
  <c r="Q65" i="24"/>
  <c r="O65" i="24"/>
  <c r="Q64" i="24"/>
  <c r="O64" i="24"/>
  <c r="Q63" i="24"/>
  <c r="O63" i="24"/>
  <c r="Q62" i="24"/>
  <c r="O62" i="24"/>
  <c r="Q61" i="24"/>
  <c r="O61" i="24"/>
  <c r="Q60" i="24"/>
  <c r="O60" i="24"/>
  <c r="Q59" i="24"/>
  <c r="O59" i="24"/>
  <c r="Q58" i="24"/>
  <c r="O58" i="24"/>
  <c r="Q56" i="24"/>
  <c r="O56" i="24"/>
  <c r="Q55" i="24"/>
  <c r="O55" i="24"/>
  <c r="Q54" i="24"/>
  <c r="O54" i="24"/>
  <c r="Q53" i="24"/>
  <c r="O53" i="24"/>
  <c r="Q51" i="24"/>
  <c r="O51" i="24"/>
  <c r="Q50" i="24"/>
  <c r="O50" i="24"/>
  <c r="Q48" i="24"/>
  <c r="O48" i="24"/>
  <c r="N48" i="24"/>
  <c r="Q47" i="24"/>
  <c r="O47" i="24"/>
  <c r="Q46" i="24"/>
  <c r="O46" i="24"/>
  <c r="Q44" i="24"/>
  <c r="O44" i="24"/>
  <c r="Q43" i="24"/>
  <c r="O43" i="24"/>
  <c r="M39" i="24"/>
  <c r="K39" i="24"/>
  <c r="I39" i="24"/>
  <c r="G39" i="24"/>
  <c r="Q38" i="24"/>
  <c r="O38" i="24"/>
  <c r="Q37" i="24"/>
  <c r="O37" i="24"/>
  <c r="Q36" i="24"/>
  <c r="O36" i="24"/>
  <c r="Q35" i="24"/>
  <c r="O35" i="24"/>
  <c r="Q34" i="24"/>
  <c r="O34" i="24"/>
  <c r="Q33" i="24"/>
  <c r="O33" i="24"/>
  <c r="Q32" i="24"/>
  <c r="O32" i="24"/>
  <c r="Q31" i="24"/>
  <c r="O31" i="24"/>
  <c r="Q30" i="24"/>
  <c r="O30" i="24"/>
  <c r="Q29" i="24"/>
  <c r="O29" i="24"/>
  <c r="Q27" i="24"/>
  <c r="O27" i="24"/>
  <c r="Q26" i="24"/>
  <c r="O26" i="24"/>
  <c r="M22" i="24"/>
  <c r="K22" i="24"/>
  <c r="I22" i="24"/>
  <c r="G22" i="24"/>
  <c r="Q21" i="24"/>
  <c r="O21" i="24"/>
  <c r="Q20" i="24"/>
  <c r="O20" i="24"/>
  <c r="Q19" i="24"/>
  <c r="O19" i="24"/>
  <c r="Q18" i="24"/>
  <c r="O18" i="24"/>
  <c r="Q17" i="24"/>
  <c r="O17" i="24"/>
  <c r="Q16" i="24"/>
  <c r="O16" i="24"/>
  <c r="Q15" i="24"/>
  <c r="O15" i="24"/>
  <c r="Q14" i="24"/>
  <c r="O14" i="24"/>
  <c r="Q13" i="24"/>
  <c r="O13" i="24"/>
  <c r="D4" i="24"/>
  <c r="S3" i="24"/>
  <c r="S3" i="23"/>
  <c r="M155" i="23"/>
  <c r="K155" i="23"/>
  <c r="I155" i="23"/>
  <c r="G155" i="23"/>
  <c r="Q154" i="23"/>
  <c r="O154" i="23"/>
  <c r="Q153" i="23"/>
  <c r="O153" i="23"/>
  <c r="Q152" i="23"/>
  <c r="O152" i="23"/>
  <c r="M150" i="23"/>
  <c r="K150" i="23"/>
  <c r="I150" i="23"/>
  <c r="G150" i="23"/>
  <c r="Q149" i="23"/>
  <c r="O149" i="23"/>
  <c r="Q148" i="23"/>
  <c r="O148" i="23"/>
  <c r="Q147" i="23"/>
  <c r="O147" i="23"/>
  <c r="Q146" i="23"/>
  <c r="O146" i="23"/>
  <c r="Q145" i="23"/>
  <c r="O145" i="23"/>
  <c r="M143" i="23"/>
  <c r="K143" i="23"/>
  <c r="I143" i="23"/>
  <c r="G143" i="23"/>
  <c r="Q142" i="23"/>
  <c r="O142" i="23"/>
  <c r="Q141" i="23"/>
  <c r="O141" i="23"/>
  <c r="Q140" i="23"/>
  <c r="O140" i="23"/>
  <c r="Q139" i="23"/>
  <c r="O139" i="23"/>
  <c r="M137" i="23"/>
  <c r="K137" i="23"/>
  <c r="I137" i="23"/>
  <c r="G137" i="23"/>
  <c r="Q136" i="23"/>
  <c r="O136" i="23"/>
  <c r="Q135" i="23"/>
  <c r="O135" i="23"/>
  <c r="Q134" i="23"/>
  <c r="O134" i="23"/>
  <c r="Q133" i="23"/>
  <c r="O133" i="23"/>
  <c r="Q132" i="23"/>
  <c r="O132" i="23"/>
  <c r="M130" i="23"/>
  <c r="K130" i="23"/>
  <c r="I130" i="23"/>
  <c r="G130" i="23"/>
  <c r="Q129" i="23"/>
  <c r="O129" i="23"/>
  <c r="Q128" i="23"/>
  <c r="O128" i="23"/>
  <c r="Q127" i="23"/>
  <c r="O127" i="23"/>
  <c r="Q126" i="23"/>
  <c r="O126" i="23"/>
  <c r="Q125" i="23"/>
  <c r="O125" i="23"/>
  <c r="Q124" i="23"/>
  <c r="O124" i="23"/>
  <c r="Q123" i="23"/>
  <c r="O123" i="23"/>
  <c r="Q122" i="23"/>
  <c r="O122" i="23"/>
  <c r="Q121" i="23"/>
  <c r="O121" i="23"/>
  <c r="M119" i="23"/>
  <c r="K119" i="23"/>
  <c r="I119" i="23"/>
  <c r="G119" i="23"/>
  <c r="Q118" i="23"/>
  <c r="O118" i="23"/>
  <c r="Q117" i="23"/>
  <c r="O117" i="23"/>
  <c r="Q116" i="23"/>
  <c r="O116" i="23"/>
  <c r="Q115" i="23"/>
  <c r="O115" i="23"/>
  <c r="Q114" i="23"/>
  <c r="O114" i="23"/>
  <c r="M112" i="23"/>
  <c r="K112" i="23"/>
  <c r="I112" i="23"/>
  <c r="G112" i="23"/>
  <c r="Q111" i="23"/>
  <c r="O111" i="23"/>
  <c r="Q110" i="23"/>
  <c r="O110" i="23"/>
  <c r="Q109" i="23"/>
  <c r="O109" i="23"/>
  <c r="Q108" i="23"/>
  <c r="O108" i="23"/>
  <c r="M106" i="23"/>
  <c r="K106" i="23"/>
  <c r="I106" i="23"/>
  <c r="G106" i="23"/>
  <c r="Q105" i="23"/>
  <c r="O105" i="23"/>
  <c r="Q104" i="23"/>
  <c r="O104" i="23"/>
  <c r="Q103" i="23"/>
  <c r="O103" i="23"/>
  <c r="Q102" i="23"/>
  <c r="O102" i="23"/>
  <c r="Q101" i="23"/>
  <c r="O101" i="23"/>
  <c r="Q100" i="23"/>
  <c r="O100" i="23"/>
  <c r="Q99" i="23"/>
  <c r="O99" i="23"/>
  <c r="M97" i="23"/>
  <c r="K97" i="23"/>
  <c r="I97" i="23"/>
  <c r="G97" i="23"/>
  <c r="Q96" i="23"/>
  <c r="O96" i="23"/>
  <c r="Q95" i="23"/>
  <c r="O95" i="23"/>
  <c r="Q94" i="23"/>
  <c r="O94" i="23"/>
  <c r="Q93" i="23"/>
  <c r="O93" i="23"/>
  <c r="Q92" i="23"/>
  <c r="O92" i="23"/>
  <c r="Q91" i="23"/>
  <c r="O91" i="23"/>
  <c r="Q90" i="23"/>
  <c r="O90" i="23"/>
  <c r="Q89" i="23"/>
  <c r="O89" i="23"/>
  <c r="Q84" i="23"/>
  <c r="O84" i="23"/>
  <c r="Q83" i="23"/>
  <c r="O83" i="23"/>
  <c r="M80" i="23"/>
  <c r="K80" i="23"/>
  <c r="I80" i="23"/>
  <c r="G80" i="23"/>
  <c r="Q79" i="23"/>
  <c r="O79" i="23"/>
  <c r="Q78" i="23"/>
  <c r="O78" i="23"/>
  <c r="Q77" i="23"/>
  <c r="O77" i="23"/>
  <c r="Q76" i="23"/>
  <c r="O76" i="23"/>
  <c r="Q75" i="23"/>
  <c r="O75" i="23"/>
  <c r="Q74" i="23"/>
  <c r="O74" i="23"/>
  <c r="Q73" i="23"/>
  <c r="O73" i="23"/>
  <c r="Q72" i="23"/>
  <c r="O72" i="23"/>
  <c r="Q71" i="23"/>
  <c r="O71" i="23"/>
  <c r="Q70" i="23"/>
  <c r="O70" i="23"/>
  <c r="Q69" i="23"/>
  <c r="O69" i="23"/>
  <c r="Q68" i="23"/>
  <c r="O68" i="23"/>
  <c r="Q67" i="23"/>
  <c r="O67" i="23"/>
  <c r="Q65" i="23"/>
  <c r="O65" i="23"/>
  <c r="Q64" i="23"/>
  <c r="O64" i="23"/>
  <c r="Q63" i="23"/>
  <c r="O63" i="23"/>
  <c r="Q62" i="23"/>
  <c r="O62" i="23"/>
  <c r="Q61" i="23"/>
  <c r="O61" i="23"/>
  <c r="Q60" i="23"/>
  <c r="O60" i="23"/>
  <c r="Q59" i="23"/>
  <c r="O59" i="23"/>
  <c r="Q58" i="23"/>
  <c r="O58" i="23"/>
  <c r="Q56" i="23"/>
  <c r="O56" i="23"/>
  <c r="Q55" i="23"/>
  <c r="O55" i="23"/>
  <c r="Q54" i="23"/>
  <c r="O54" i="23"/>
  <c r="Q53" i="23"/>
  <c r="O53" i="23"/>
  <c r="Q51" i="23"/>
  <c r="O51" i="23"/>
  <c r="Q50" i="23"/>
  <c r="O50" i="23"/>
  <c r="Q48" i="23"/>
  <c r="O48" i="23"/>
  <c r="N48" i="23"/>
  <c r="Q47" i="23"/>
  <c r="O47" i="23"/>
  <c r="Q46" i="23"/>
  <c r="O46" i="23"/>
  <c r="Q44" i="23"/>
  <c r="O44" i="23"/>
  <c r="Q43" i="23"/>
  <c r="O43" i="23"/>
  <c r="M39" i="23"/>
  <c r="K39" i="23"/>
  <c r="I39" i="23"/>
  <c r="G39" i="23"/>
  <c r="Q38" i="23"/>
  <c r="O38" i="23"/>
  <c r="Q37" i="23"/>
  <c r="O37" i="23"/>
  <c r="Q36" i="23"/>
  <c r="O36" i="23"/>
  <c r="Q35" i="23"/>
  <c r="O35" i="23"/>
  <c r="Q34" i="23"/>
  <c r="O34" i="23"/>
  <c r="Q33" i="23"/>
  <c r="O33" i="23"/>
  <c r="Q32" i="23"/>
  <c r="O32" i="23"/>
  <c r="Q31" i="23"/>
  <c r="O31" i="23"/>
  <c r="Q30" i="23"/>
  <c r="O30" i="23"/>
  <c r="Q29" i="23"/>
  <c r="O29" i="23"/>
  <c r="Q27" i="23"/>
  <c r="O27" i="23"/>
  <c r="Q26" i="23"/>
  <c r="O26" i="23"/>
  <c r="M22" i="23"/>
  <c r="M85" i="23" s="1"/>
  <c r="K22" i="23"/>
  <c r="K85" i="23" s="1"/>
  <c r="I22" i="23"/>
  <c r="G22" i="23"/>
  <c r="Q21" i="23"/>
  <c r="O21" i="23"/>
  <c r="Q20" i="23"/>
  <c r="O20" i="23"/>
  <c r="Q19" i="23"/>
  <c r="O19" i="23"/>
  <c r="Q18" i="23"/>
  <c r="O18" i="23"/>
  <c r="Q17" i="23"/>
  <c r="O17" i="23"/>
  <c r="Q16" i="23"/>
  <c r="O16" i="23"/>
  <c r="Q15" i="23"/>
  <c r="O15" i="23"/>
  <c r="Q14" i="23"/>
  <c r="O14" i="23"/>
  <c r="Q13" i="23"/>
  <c r="O13" i="23"/>
  <c r="D4" i="23"/>
  <c r="Q39" i="23" l="1"/>
  <c r="O143" i="23"/>
  <c r="O112" i="24"/>
  <c r="Q119" i="24"/>
  <c r="Q106" i="23"/>
  <c r="G85" i="24"/>
  <c r="Q137" i="24"/>
  <c r="M156" i="23"/>
  <c r="A71" i="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Q150" i="24"/>
  <c r="Q119" i="23"/>
  <c r="Q106" i="24"/>
  <c r="P48" i="24"/>
  <c r="S48" i="24" s="1"/>
  <c r="O143" i="24"/>
  <c r="Q150" i="23"/>
  <c r="O112" i="23"/>
  <c r="O130" i="23"/>
  <c r="O155" i="23"/>
  <c r="O130" i="24"/>
  <c r="O155" i="24"/>
  <c r="G85" i="23"/>
  <c r="P48" i="23"/>
  <c r="S48" i="23" s="1"/>
  <c r="Q137" i="23"/>
  <c r="K85" i="24"/>
  <c r="M85" i="24"/>
  <c r="M158" i="24" s="1"/>
  <c r="O97" i="23"/>
  <c r="O22" i="24"/>
  <c r="O39" i="24"/>
  <c r="O22" i="23"/>
  <c r="I85" i="23"/>
  <c r="I156" i="24"/>
  <c r="Q39" i="24"/>
  <c r="Q97" i="24"/>
  <c r="Q22" i="24"/>
  <c r="Q80" i="24"/>
  <c r="G156" i="24"/>
  <c r="G158" i="24" s="1"/>
  <c r="Q143" i="24"/>
  <c r="O97" i="24"/>
  <c r="O119" i="24"/>
  <c r="Q155" i="24"/>
  <c r="I85" i="24"/>
  <c r="O80" i="24"/>
  <c r="K156" i="24"/>
  <c r="Q112" i="24"/>
  <c r="Q130" i="24"/>
  <c r="O137" i="24"/>
  <c r="O106" i="24"/>
  <c r="O150" i="24"/>
  <c r="O39" i="23"/>
  <c r="Q80" i="23"/>
  <c r="M158" i="23"/>
  <c r="Q112" i="23"/>
  <c r="O80" i="23"/>
  <c r="G156" i="23"/>
  <c r="K156" i="23"/>
  <c r="K158" i="23" s="1"/>
  <c r="O106" i="23"/>
  <c r="Q143" i="23"/>
  <c r="Q155" i="23"/>
  <c r="Q22" i="23"/>
  <c r="I156" i="23"/>
  <c r="Q97" i="23"/>
  <c r="O119" i="23"/>
  <c r="O150" i="23"/>
  <c r="Q130" i="23"/>
  <c r="O137" i="23"/>
  <c r="I158" i="23" l="1"/>
  <c r="K158" i="24"/>
  <c r="I158" i="24"/>
  <c r="G158" i="23"/>
  <c r="O85" i="23"/>
  <c r="O156" i="23"/>
  <c r="O85" i="24"/>
  <c r="O156" i="24"/>
  <c r="Q85" i="24"/>
  <c r="Q156" i="24"/>
  <c r="Q85" i="23"/>
  <c r="Q156" i="23"/>
  <c r="O158" i="24" l="1"/>
  <c r="O158" i="23"/>
  <c r="Q158" i="24"/>
  <c r="Q158" i="23"/>
  <c r="L14" i="22" l="1"/>
  <c r="J14" i="23" s="1"/>
  <c r="L21" i="22"/>
  <c r="L20" i="22"/>
  <c r="L19" i="22"/>
  <c r="L18" i="22"/>
  <c r="L16" i="22"/>
  <c r="L15" i="22"/>
  <c r="L27" i="22"/>
  <c r="L38" i="22"/>
  <c r="L37" i="22"/>
  <c r="L36" i="22"/>
  <c r="L35" i="22"/>
  <c r="L34" i="22"/>
  <c r="L33" i="22"/>
  <c r="L32" i="22"/>
  <c r="L31" i="22"/>
  <c r="L29" i="22"/>
  <c r="L44" i="22"/>
  <c r="L46" i="22"/>
  <c r="L51" i="22"/>
  <c r="J51" i="23" s="1"/>
  <c r="L50" i="22"/>
  <c r="J50" i="23" s="1"/>
  <c r="L56" i="22"/>
  <c r="J56" i="23" s="1"/>
  <c r="L55" i="22"/>
  <c r="J55" i="23" s="1"/>
  <c r="L54" i="22"/>
  <c r="J54" i="23" s="1"/>
  <c r="L53" i="22"/>
  <c r="J53" i="23" s="1"/>
  <c r="L79" i="22"/>
  <c r="L78" i="22"/>
  <c r="L77" i="22"/>
  <c r="L76" i="22"/>
  <c r="L75" i="22"/>
  <c r="J75" i="23" s="1"/>
  <c r="L74" i="22"/>
  <c r="J74" i="23" s="1"/>
  <c r="L73" i="22"/>
  <c r="J73" i="23" s="1"/>
  <c r="L72" i="22"/>
  <c r="J72" i="23" s="1"/>
  <c r="L71" i="22"/>
  <c r="J71" i="23" s="1"/>
  <c r="L70" i="22"/>
  <c r="J70" i="23" s="1"/>
  <c r="L69" i="22"/>
  <c r="J69" i="23" s="1"/>
  <c r="L68" i="22"/>
  <c r="J68" i="23" s="1"/>
  <c r="L67" i="22"/>
  <c r="J67" i="23" s="1"/>
  <c r="L65" i="22"/>
  <c r="J65" i="23" s="1"/>
  <c r="L64" i="22"/>
  <c r="J64" i="23" s="1"/>
  <c r="L63" i="22"/>
  <c r="J63" i="23" s="1"/>
  <c r="L62" i="22"/>
  <c r="J62" i="23" s="1"/>
  <c r="L61" i="22"/>
  <c r="J61" i="23" s="1"/>
  <c r="L60" i="22"/>
  <c r="J60" i="23" s="1"/>
  <c r="L59" i="22"/>
  <c r="J59" i="23" s="1"/>
  <c r="L58" i="22"/>
  <c r="J58" i="23" s="1"/>
  <c r="L84" i="22"/>
  <c r="L83" i="22"/>
  <c r="L96" i="22"/>
  <c r="L95" i="22"/>
  <c r="L94" i="22"/>
  <c r="L93" i="22"/>
  <c r="L92" i="22"/>
  <c r="L91" i="22"/>
  <c r="L90" i="22"/>
  <c r="L89" i="22"/>
  <c r="J89" i="23" s="1"/>
  <c r="L105" i="22"/>
  <c r="L104" i="22"/>
  <c r="L103" i="22"/>
  <c r="L102" i="22"/>
  <c r="L101" i="22"/>
  <c r="L100" i="22"/>
  <c r="L99" i="22"/>
  <c r="J99" i="23" s="1"/>
  <c r="L111" i="22"/>
  <c r="L110" i="22"/>
  <c r="L109" i="22"/>
  <c r="L108" i="22"/>
  <c r="J108" i="23" s="1"/>
  <c r="L118" i="22"/>
  <c r="L117" i="22"/>
  <c r="L116" i="22"/>
  <c r="L115" i="22"/>
  <c r="L114" i="22"/>
  <c r="J114" i="23" s="1"/>
  <c r="L129" i="22"/>
  <c r="L128" i="22"/>
  <c r="L126" i="22"/>
  <c r="L125" i="22"/>
  <c r="L124" i="22"/>
  <c r="L123" i="22"/>
  <c r="L122" i="22"/>
  <c r="L121" i="22"/>
  <c r="J121" i="23" s="1"/>
  <c r="L136" i="22"/>
  <c r="L135" i="22"/>
  <c r="L134" i="22"/>
  <c r="L133" i="22"/>
  <c r="L132" i="22"/>
  <c r="J132" i="23" s="1"/>
  <c r="L142" i="22"/>
  <c r="L141" i="22"/>
  <c r="L140" i="22"/>
  <c r="L139" i="22"/>
  <c r="J139" i="23" s="1"/>
  <c r="L149" i="22"/>
  <c r="L148" i="22"/>
  <c r="L147" i="22"/>
  <c r="L146" i="22"/>
  <c r="L145" i="22"/>
  <c r="J145" i="23" s="1"/>
  <c r="L154" i="22"/>
  <c r="L153" i="22"/>
  <c r="L152" i="22"/>
  <c r="J152" i="23" s="1"/>
  <c r="J148" i="23" l="1"/>
  <c r="L148" i="23" s="1"/>
  <c r="J148" i="24" s="1"/>
  <c r="L148" i="24" s="1"/>
  <c r="J141" i="23"/>
  <c r="L141" i="23" s="1"/>
  <c r="J141" i="24" s="1"/>
  <c r="L141" i="24" s="1"/>
  <c r="J122" i="23"/>
  <c r="L122" i="23" s="1"/>
  <c r="J122" i="24" s="1"/>
  <c r="L122" i="24" s="1"/>
  <c r="J126" i="23"/>
  <c r="N126" i="23" s="1"/>
  <c r="P126" i="23" s="1"/>
  <c r="S126" i="23" s="1"/>
  <c r="J118" i="23"/>
  <c r="L118" i="23" s="1"/>
  <c r="J118" i="24" s="1"/>
  <c r="L118" i="24" s="1"/>
  <c r="J83" i="23"/>
  <c r="N83" i="23" s="1"/>
  <c r="P83" i="23" s="1"/>
  <c r="S83" i="23" s="1"/>
  <c r="J27" i="23"/>
  <c r="L27" i="23" s="1"/>
  <c r="J27" i="24" s="1"/>
  <c r="L27" i="24" s="1"/>
  <c r="J142" i="23"/>
  <c r="L142" i="23" s="1"/>
  <c r="J142" i="24" s="1"/>
  <c r="L142" i="24" s="1"/>
  <c r="J123" i="23"/>
  <c r="L123" i="23" s="1"/>
  <c r="J123" i="24" s="1"/>
  <c r="L123" i="24" s="1"/>
  <c r="J115" i="23"/>
  <c r="N115" i="23" s="1"/>
  <c r="P115" i="23" s="1"/>
  <c r="S115" i="23" s="1"/>
  <c r="J103" i="23"/>
  <c r="L103" i="23" s="1"/>
  <c r="J103" i="24" s="1"/>
  <c r="L103" i="24" s="1"/>
  <c r="J84" i="23"/>
  <c r="L84" i="23" s="1"/>
  <c r="J84" i="24" s="1"/>
  <c r="L84" i="24" s="1"/>
  <c r="J78" i="23"/>
  <c r="L78" i="23" s="1"/>
  <c r="J78" i="24" s="1"/>
  <c r="L78" i="24" s="1"/>
  <c r="J46" i="23"/>
  <c r="N46" i="23" s="1"/>
  <c r="P46" i="23" s="1"/>
  <c r="S46" i="23" s="1"/>
  <c r="J36" i="23"/>
  <c r="L36" i="23" s="1"/>
  <c r="J36" i="24" s="1"/>
  <c r="L36" i="24" s="1"/>
  <c r="J15" i="23"/>
  <c r="L15" i="23" s="1"/>
  <c r="J15" i="24" s="1"/>
  <c r="L15" i="24" s="1"/>
  <c r="J146" i="23"/>
  <c r="L146" i="23" s="1"/>
  <c r="J146" i="24" s="1"/>
  <c r="L146" i="24" s="1"/>
  <c r="J136" i="23"/>
  <c r="N136" i="23" s="1"/>
  <c r="P136" i="23" s="1"/>
  <c r="S136" i="23" s="1"/>
  <c r="J124" i="23"/>
  <c r="L124" i="23" s="1"/>
  <c r="J124" i="24" s="1"/>
  <c r="L124" i="24" s="1"/>
  <c r="J128" i="23"/>
  <c r="N128" i="23" s="1"/>
  <c r="P128" i="23" s="1"/>
  <c r="S128" i="23" s="1"/>
  <c r="J116" i="23"/>
  <c r="L116" i="23" s="1"/>
  <c r="J116" i="24" s="1"/>
  <c r="L116" i="24" s="1"/>
  <c r="J109" i="23"/>
  <c r="N109" i="23" s="1"/>
  <c r="P109" i="23" s="1"/>
  <c r="S109" i="23" s="1"/>
  <c r="J100" i="23"/>
  <c r="L100" i="23" s="1"/>
  <c r="J100" i="24" s="1"/>
  <c r="L100" i="24" s="1"/>
  <c r="J104" i="23"/>
  <c r="L104" i="23" s="1"/>
  <c r="J104" i="24" s="1"/>
  <c r="L104" i="24" s="1"/>
  <c r="J91" i="23"/>
  <c r="L91" i="23" s="1"/>
  <c r="J91" i="24" s="1"/>
  <c r="L91" i="24" s="1"/>
  <c r="J95" i="23"/>
  <c r="N95" i="23" s="1"/>
  <c r="P95" i="23" s="1"/>
  <c r="S95" i="23" s="1"/>
  <c r="J79" i="23"/>
  <c r="L79" i="23" s="1"/>
  <c r="J79" i="24" s="1"/>
  <c r="L79" i="24" s="1"/>
  <c r="J44" i="23"/>
  <c r="J33" i="23"/>
  <c r="L33" i="23" s="1"/>
  <c r="J33" i="24" s="1"/>
  <c r="L33" i="24" s="1"/>
  <c r="J37" i="23"/>
  <c r="L37" i="23" s="1"/>
  <c r="J37" i="24" s="1"/>
  <c r="L37" i="24" s="1"/>
  <c r="J16" i="23"/>
  <c r="L16" i="23" s="1"/>
  <c r="J16" i="24" s="1"/>
  <c r="L16" i="24" s="1"/>
  <c r="J21" i="23"/>
  <c r="N21" i="23" s="1"/>
  <c r="P21" i="23" s="1"/>
  <c r="S21" i="23" s="1"/>
  <c r="J154" i="23"/>
  <c r="L154" i="23" s="1"/>
  <c r="J154" i="24" s="1"/>
  <c r="L154" i="24" s="1"/>
  <c r="J134" i="23"/>
  <c r="L134" i="23" s="1"/>
  <c r="J134" i="24" s="1"/>
  <c r="L134" i="24" s="1"/>
  <c r="J111" i="23"/>
  <c r="L111" i="23" s="1"/>
  <c r="J111" i="24" s="1"/>
  <c r="L111" i="24" s="1"/>
  <c r="J102" i="23"/>
  <c r="J93" i="23"/>
  <c r="L93" i="23" s="1"/>
  <c r="J93" i="24" s="1"/>
  <c r="L93" i="24" s="1"/>
  <c r="J77" i="23"/>
  <c r="L77" i="23" s="1"/>
  <c r="J77" i="24" s="1"/>
  <c r="L77" i="24" s="1"/>
  <c r="J31" i="23"/>
  <c r="L31" i="23" s="1"/>
  <c r="J31" i="24" s="1"/>
  <c r="L31" i="24" s="1"/>
  <c r="J35" i="23"/>
  <c r="N35" i="23" s="1"/>
  <c r="P35" i="23" s="1"/>
  <c r="S35" i="23" s="1"/>
  <c r="J19" i="23"/>
  <c r="L19" i="23" s="1"/>
  <c r="J19" i="24" s="1"/>
  <c r="L19" i="24" s="1"/>
  <c r="J149" i="23"/>
  <c r="N149" i="23" s="1"/>
  <c r="P149" i="23" s="1"/>
  <c r="S149" i="23" s="1"/>
  <c r="J135" i="23"/>
  <c r="L135" i="23" s="1"/>
  <c r="J135" i="24" s="1"/>
  <c r="L135" i="24" s="1"/>
  <c r="J90" i="23"/>
  <c r="L90" i="23" s="1"/>
  <c r="J90" i="24" s="1"/>
  <c r="L90" i="24" s="1"/>
  <c r="J94" i="23"/>
  <c r="L94" i="23" s="1"/>
  <c r="J94" i="24" s="1"/>
  <c r="L94" i="24" s="1"/>
  <c r="J32" i="23"/>
  <c r="L32" i="23" s="1"/>
  <c r="J32" i="24" s="1"/>
  <c r="L32" i="24" s="1"/>
  <c r="J20" i="23"/>
  <c r="L20" i="23" s="1"/>
  <c r="J20" i="24" s="1"/>
  <c r="L20" i="24" s="1"/>
  <c r="J153" i="23"/>
  <c r="L153" i="23" s="1"/>
  <c r="J153" i="24" s="1"/>
  <c r="L153" i="24" s="1"/>
  <c r="J147" i="23"/>
  <c r="N147" i="23" s="1"/>
  <c r="P147" i="23" s="1"/>
  <c r="S147" i="23" s="1"/>
  <c r="J140" i="23"/>
  <c r="L140" i="23" s="1"/>
  <c r="J140" i="24" s="1"/>
  <c r="L140" i="24" s="1"/>
  <c r="J133" i="23"/>
  <c r="J125" i="23"/>
  <c r="L125" i="23" s="1"/>
  <c r="J125" i="24" s="1"/>
  <c r="L125" i="24" s="1"/>
  <c r="J129" i="23"/>
  <c r="L129" i="23" s="1"/>
  <c r="J129" i="24" s="1"/>
  <c r="L129" i="24" s="1"/>
  <c r="J117" i="23"/>
  <c r="L117" i="23" s="1"/>
  <c r="J117" i="24" s="1"/>
  <c r="L117" i="24" s="1"/>
  <c r="J110" i="23"/>
  <c r="N110" i="23" s="1"/>
  <c r="P110" i="23" s="1"/>
  <c r="S110" i="23" s="1"/>
  <c r="J101" i="23"/>
  <c r="L101" i="23" s="1"/>
  <c r="J101" i="24" s="1"/>
  <c r="L101" i="24" s="1"/>
  <c r="J105" i="23"/>
  <c r="N105" i="23" s="1"/>
  <c r="P105" i="23" s="1"/>
  <c r="S105" i="23" s="1"/>
  <c r="J92" i="23"/>
  <c r="L92" i="23" s="1"/>
  <c r="J92" i="24" s="1"/>
  <c r="L92" i="24" s="1"/>
  <c r="J96" i="23"/>
  <c r="L96" i="23" s="1"/>
  <c r="J96" i="24" s="1"/>
  <c r="L96" i="24" s="1"/>
  <c r="J76" i="23"/>
  <c r="L76" i="23" s="1"/>
  <c r="J76" i="24" s="1"/>
  <c r="L76" i="24" s="1"/>
  <c r="J29" i="23"/>
  <c r="N29" i="23" s="1"/>
  <c r="P29" i="23" s="1"/>
  <c r="S29" i="23" s="1"/>
  <c r="J34" i="23"/>
  <c r="L34" i="23" s="1"/>
  <c r="J34" i="24" s="1"/>
  <c r="L34" i="24" s="1"/>
  <c r="J38" i="23"/>
  <c r="N38" i="23" s="1"/>
  <c r="P38" i="23" s="1"/>
  <c r="S38" i="23" s="1"/>
  <c r="J18" i="23"/>
  <c r="L18" i="23" s="1"/>
  <c r="J18" i="24" s="1"/>
  <c r="L18" i="24" s="1"/>
  <c r="L152" i="23"/>
  <c r="J152" i="24" s="1"/>
  <c r="L145" i="23"/>
  <c r="J145" i="24" s="1"/>
  <c r="L139" i="23"/>
  <c r="J139" i="24" s="1"/>
  <c r="L132" i="23"/>
  <c r="J132" i="24" s="1"/>
  <c r="L121" i="23"/>
  <c r="J121" i="24" s="1"/>
  <c r="L114" i="23"/>
  <c r="J114" i="24" s="1"/>
  <c r="L108" i="23"/>
  <c r="J108" i="24" s="1"/>
  <c r="L99" i="23"/>
  <c r="J99" i="24" s="1"/>
  <c r="L89" i="23"/>
  <c r="J89" i="24" s="1"/>
  <c r="N61" i="23"/>
  <c r="P61" i="23" s="1"/>
  <c r="S61" i="23" s="1"/>
  <c r="L61" i="23"/>
  <c r="J61" i="24" s="1"/>
  <c r="N58" i="23"/>
  <c r="P58" i="23" s="1"/>
  <c r="S58" i="23" s="1"/>
  <c r="L58" i="23"/>
  <c r="J58" i="24" s="1"/>
  <c r="N59" i="23"/>
  <c r="P59" i="23" s="1"/>
  <c r="S59" i="23" s="1"/>
  <c r="L59" i="23"/>
  <c r="J59" i="24" s="1"/>
  <c r="N65" i="23"/>
  <c r="P65" i="23" s="1"/>
  <c r="S65" i="23" s="1"/>
  <c r="L65" i="23"/>
  <c r="J65" i="24" s="1"/>
  <c r="N70" i="23"/>
  <c r="P70" i="23" s="1"/>
  <c r="S70" i="23" s="1"/>
  <c r="L70" i="23"/>
  <c r="J70" i="24" s="1"/>
  <c r="N74" i="23"/>
  <c r="P74" i="23" s="1"/>
  <c r="S74" i="23" s="1"/>
  <c r="L74" i="23"/>
  <c r="J74" i="24" s="1"/>
  <c r="L62" i="23"/>
  <c r="J62" i="24" s="1"/>
  <c r="N62" i="23"/>
  <c r="P62" i="23" s="1"/>
  <c r="S62" i="23" s="1"/>
  <c r="L67" i="23"/>
  <c r="J67" i="24" s="1"/>
  <c r="N67" i="23"/>
  <c r="P67" i="23" s="1"/>
  <c r="S67" i="23" s="1"/>
  <c r="N71" i="23"/>
  <c r="P71" i="23" s="1"/>
  <c r="S71" i="23" s="1"/>
  <c r="L71" i="23"/>
  <c r="J71" i="24" s="1"/>
  <c r="N75" i="23"/>
  <c r="P75" i="23" s="1"/>
  <c r="S75" i="23" s="1"/>
  <c r="L75" i="23"/>
  <c r="J75" i="24" s="1"/>
  <c r="N63" i="23"/>
  <c r="P63" i="23" s="1"/>
  <c r="S63" i="23" s="1"/>
  <c r="L63" i="23"/>
  <c r="J63" i="24" s="1"/>
  <c r="N68" i="23"/>
  <c r="P68" i="23" s="1"/>
  <c r="S68" i="23" s="1"/>
  <c r="L68" i="23"/>
  <c r="J68" i="24" s="1"/>
  <c r="N72" i="23"/>
  <c r="P72" i="23" s="1"/>
  <c r="S72" i="23" s="1"/>
  <c r="L72" i="23"/>
  <c r="J72" i="24" s="1"/>
  <c r="L60" i="23"/>
  <c r="J60" i="24" s="1"/>
  <c r="N60" i="23"/>
  <c r="P60" i="23" s="1"/>
  <c r="S60" i="23" s="1"/>
  <c r="L64" i="23"/>
  <c r="J64" i="24" s="1"/>
  <c r="N64" i="23"/>
  <c r="P64" i="23" s="1"/>
  <c r="S64" i="23" s="1"/>
  <c r="N69" i="23"/>
  <c r="P69" i="23" s="1"/>
  <c r="S69" i="23" s="1"/>
  <c r="L69" i="23"/>
  <c r="J69" i="24" s="1"/>
  <c r="N73" i="23"/>
  <c r="P73" i="23" s="1"/>
  <c r="S73" i="23" s="1"/>
  <c r="L73" i="23"/>
  <c r="J73" i="24" s="1"/>
  <c r="N56" i="23"/>
  <c r="P56" i="23" s="1"/>
  <c r="S56" i="23" s="1"/>
  <c r="L56" i="23"/>
  <c r="J56" i="24" s="1"/>
  <c r="L55" i="23"/>
  <c r="J55" i="24" s="1"/>
  <c r="N55" i="23"/>
  <c r="P55" i="23" s="1"/>
  <c r="S55" i="23" s="1"/>
  <c r="N53" i="23"/>
  <c r="P53" i="23" s="1"/>
  <c r="S53" i="23" s="1"/>
  <c r="L53" i="23"/>
  <c r="J53" i="24" s="1"/>
  <c r="L54" i="23"/>
  <c r="J54" i="24" s="1"/>
  <c r="N54" i="23"/>
  <c r="P54" i="23" s="1"/>
  <c r="S54" i="23" s="1"/>
  <c r="L50" i="23"/>
  <c r="J50" i="24" s="1"/>
  <c r="N50" i="23"/>
  <c r="P50" i="23" s="1"/>
  <c r="S50" i="23" s="1"/>
  <c r="L51" i="23"/>
  <c r="J51" i="24" s="1"/>
  <c r="N51" i="23"/>
  <c r="P51" i="23" s="1"/>
  <c r="S51" i="23" s="1"/>
  <c r="N47" i="23"/>
  <c r="P47" i="23" s="1"/>
  <c r="S47" i="23" s="1"/>
  <c r="L14" i="23"/>
  <c r="J14" i="24" s="1"/>
  <c r="N14" i="23"/>
  <c r="P14" i="23" s="1"/>
  <c r="S14" i="23" s="1"/>
  <c r="F155" i="23"/>
  <c r="N152" i="23"/>
  <c r="N145" i="23"/>
  <c r="F150" i="23"/>
  <c r="F143" i="23"/>
  <c r="N139" i="23"/>
  <c r="F137" i="23"/>
  <c r="N132" i="23"/>
  <c r="N121" i="23"/>
  <c r="F119" i="23"/>
  <c r="N114" i="23"/>
  <c r="N108" i="23"/>
  <c r="F112" i="23"/>
  <c r="F106" i="23"/>
  <c r="N99" i="23"/>
  <c r="F97" i="23"/>
  <c r="N89" i="23"/>
  <c r="N76" i="23"/>
  <c r="P76" i="23" s="1"/>
  <c r="S76" i="23" s="1"/>
  <c r="N79" i="23"/>
  <c r="P79" i="23" s="1"/>
  <c r="S79" i="23" s="1"/>
  <c r="F80" i="23"/>
  <c r="N43" i="23"/>
  <c r="N30" i="23"/>
  <c r="P30" i="23" s="1"/>
  <c r="S30" i="23" s="1"/>
  <c r="N26" i="23"/>
  <c r="N17" i="23"/>
  <c r="P17" i="23" s="1"/>
  <c r="S17" i="23" s="1"/>
  <c r="G155" i="22"/>
  <c r="H155" i="22"/>
  <c r="I155" i="22"/>
  <c r="J155" i="22"/>
  <c r="K155" i="22"/>
  <c r="L155" i="22"/>
  <c r="M155" i="22"/>
  <c r="G150" i="22"/>
  <c r="H150" i="22"/>
  <c r="I150" i="22"/>
  <c r="J150" i="22"/>
  <c r="K150" i="22"/>
  <c r="L150" i="22"/>
  <c r="M150" i="22"/>
  <c r="G143" i="22"/>
  <c r="H143" i="22"/>
  <c r="I143" i="22"/>
  <c r="J143" i="22"/>
  <c r="K143" i="22"/>
  <c r="L143" i="22"/>
  <c r="M143" i="22"/>
  <c r="G137" i="22"/>
  <c r="H137" i="22"/>
  <c r="I137" i="22"/>
  <c r="J137" i="22"/>
  <c r="K137" i="22"/>
  <c r="L137" i="22"/>
  <c r="M137" i="22"/>
  <c r="G130" i="22"/>
  <c r="I130" i="22"/>
  <c r="K130" i="22"/>
  <c r="M130" i="22"/>
  <c r="G119" i="22"/>
  <c r="H119" i="22"/>
  <c r="I119" i="22"/>
  <c r="J119" i="22"/>
  <c r="K119" i="22"/>
  <c r="L119" i="22"/>
  <c r="M119" i="22"/>
  <c r="G112" i="22"/>
  <c r="H112" i="22"/>
  <c r="I112" i="22"/>
  <c r="J112" i="22"/>
  <c r="K112" i="22"/>
  <c r="L112" i="22"/>
  <c r="M112" i="22"/>
  <c r="G106" i="22"/>
  <c r="H106" i="22"/>
  <c r="I106" i="22"/>
  <c r="J106" i="22"/>
  <c r="K106" i="22"/>
  <c r="L106" i="22"/>
  <c r="M106" i="22"/>
  <c r="G97" i="22"/>
  <c r="H97" i="22"/>
  <c r="I97" i="22"/>
  <c r="J97" i="22"/>
  <c r="K97" i="22"/>
  <c r="L97" i="22"/>
  <c r="M97" i="22"/>
  <c r="Q154" i="22"/>
  <c r="O154" i="22"/>
  <c r="N154" i="22"/>
  <c r="Q153" i="22"/>
  <c r="O153" i="22"/>
  <c r="N153" i="22"/>
  <c r="Q152" i="22"/>
  <c r="O152" i="22"/>
  <c r="N152" i="22"/>
  <c r="Q149" i="22"/>
  <c r="O149" i="22"/>
  <c r="N149" i="22"/>
  <c r="Q148" i="22"/>
  <c r="O148" i="22"/>
  <c r="N148" i="22"/>
  <c r="Q147" i="22"/>
  <c r="O147" i="22"/>
  <c r="N147" i="22"/>
  <c r="Q146" i="22"/>
  <c r="O146" i="22"/>
  <c r="N146" i="22"/>
  <c r="Q145" i="22"/>
  <c r="O145" i="22"/>
  <c r="N145" i="22"/>
  <c r="Q142" i="22"/>
  <c r="O142" i="22"/>
  <c r="N142" i="22"/>
  <c r="Q141" i="22"/>
  <c r="O141" i="22"/>
  <c r="N141" i="22"/>
  <c r="Q140" i="22"/>
  <c r="O140" i="22"/>
  <c r="N140" i="22"/>
  <c r="Q139" i="22"/>
  <c r="O139" i="22"/>
  <c r="N139" i="22"/>
  <c r="Q136" i="22"/>
  <c r="O136" i="22"/>
  <c r="N136" i="22"/>
  <c r="Q135" i="22"/>
  <c r="O135" i="22"/>
  <c r="N135" i="22"/>
  <c r="Q134" i="22"/>
  <c r="O134" i="22"/>
  <c r="N134" i="22"/>
  <c r="Q133" i="22"/>
  <c r="O133" i="22"/>
  <c r="N133" i="22"/>
  <c r="P133" i="22" s="1"/>
  <c r="Q132" i="22"/>
  <c r="O132" i="22"/>
  <c r="N132" i="22"/>
  <c r="Q129" i="22"/>
  <c r="O129" i="22"/>
  <c r="N129" i="22"/>
  <c r="Q128" i="22"/>
  <c r="O128" i="22"/>
  <c r="N128" i="22"/>
  <c r="Q127" i="22"/>
  <c r="O127" i="22"/>
  <c r="Q126" i="22"/>
  <c r="O126" i="22"/>
  <c r="N126" i="22"/>
  <c r="Q125" i="22"/>
  <c r="O125" i="22"/>
  <c r="N125" i="22"/>
  <c r="Q124" i="22"/>
  <c r="O124" i="22"/>
  <c r="N124" i="22"/>
  <c r="Q123" i="22"/>
  <c r="O123" i="22"/>
  <c r="N123" i="22"/>
  <c r="P123" i="22" s="1"/>
  <c r="Q122" i="22"/>
  <c r="O122" i="22"/>
  <c r="N122" i="22"/>
  <c r="Q121" i="22"/>
  <c r="O121" i="22"/>
  <c r="N121" i="22"/>
  <c r="Q118" i="22"/>
  <c r="O118" i="22"/>
  <c r="N118" i="22"/>
  <c r="Q117" i="22"/>
  <c r="O117" i="22"/>
  <c r="N117" i="22"/>
  <c r="P117" i="22" s="1"/>
  <c r="Q116" i="22"/>
  <c r="O116" i="22"/>
  <c r="N116" i="22"/>
  <c r="Q115" i="22"/>
  <c r="O115" i="22"/>
  <c r="N115" i="22"/>
  <c r="Q114" i="22"/>
  <c r="O114" i="22"/>
  <c r="N114" i="22"/>
  <c r="Q111" i="22"/>
  <c r="O111" i="22"/>
  <c r="N111" i="22"/>
  <c r="Q110" i="22"/>
  <c r="O110" i="22"/>
  <c r="N110" i="22"/>
  <c r="Q109" i="22"/>
  <c r="O109" i="22"/>
  <c r="N109" i="22"/>
  <c r="Q108" i="22"/>
  <c r="O108" i="22"/>
  <c r="N108" i="22"/>
  <c r="Q105" i="22"/>
  <c r="O105" i="22"/>
  <c r="N105" i="22"/>
  <c r="P105" i="22" s="1"/>
  <c r="Q104" i="22"/>
  <c r="O104" i="22"/>
  <c r="N104" i="22"/>
  <c r="Q103" i="22"/>
  <c r="O103" i="22"/>
  <c r="N103" i="22"/>
  <c r="Q102" i="22"/>
  <c r="O102" i="22"/>
  <c r="N102" i="22"/>
  <c r="Q101" i="22"/>
  <c r="O101" i="22"/>
  <c r="N101" i="22"/>
  <c r="P101" i="22" s="1"/>
  <c r="Q100" i="22"/>
  <c r="O100" i="22"/>
  <c r="N100" i="22"/>
  <c r="Q99" i="22"/>
  <c r="O99" i="22"/>
  <c r="N99" i="22"/>
  <c r="Q96" i="22"/>
  <c r="O96" i="22"/>
  <c r="N96" i="22"/>
  <c r="Q95" i="22"/>
  <c r="O95" i="22"/>
  <c r="N95" i="22"/>
  <c r="Q94" i="22"/>
  <c r="O94" i="22"/>
  <c r="N94" i="22"/>
  <c r="Q93" i="22"/>
  <c r="O93" i="22"/>
  <c r="N93" i="22"/>
  <c r="Q92" i="22"/>
  <c r="O92" i="22"/>
  <c r="N92" i="22"/>
  <c r="Q91" i="22"/>
  <c r="O91" i="22"/>
  <c r="N91" i="22"/>
  <c r="P91" i="22" s="1"/>
  <c r="Q90" i="22"/>
  <c r="O90" i="22"/>
  <c r="N90" i="22"/>
  <c r="Q89" i="22"/>
  <c r="O89" i="22"/>
  <c r="N89" i="22"/>
  <c r="G80" i="22"/>
  <c r="H80" i="22"/>
  <c r="I80" i="22"/>
  <c r="J80" i="22"/>
  <c r="K80" i="22"/>
  <c r="L80" i="22"/>
  <c r="M80" i="22"/>
  <c r="G39" i="22"/>
  <c r="I39" i="22"/>
  <c r="J39" i="22"/>
  <c r="K39" i="22"/>
  <c r="L39" i="22"/>
  <c r="M39" i="22"/>
  <c r="Q84" i="22"/>
  <c r="O84" i="22"/>
  <c r="N84" i="22"/>
  <c r="P84" i="22" s="1"/>
  <c r="Q83" i="22"/>
  <c r="O83" i="22"/>
  <c r="N83" i="22"/>
  <c r="Q79" i="22"/>
  <c r="O79" i="22"/>
  <c r="N79" i="22"/>
  <c r="Q78" i="22"/>
  <c r="O78" i="22"/>
  <c r="N78" i="22"/>
  <c r="Q77" i="22"/>
  <c r="O77" i="22"/>
  <c r="N77" i="22"/>
  <c r="Q76" i="22"/>
  <c r="O76" i="22"/>
  <c r="N76" i="22"/>
  <c r="Q75" i="22"/>
  <c r="O75" i="22"/>
  <c r="N75" i="22"/>
  <c r="Q74" i="22"/>
  <c r="O74" i="22"/>
  <c r="N74" i="22"/>
  <c r="Q73" i="22"/>
  <c r="O73" i="22"/>
  <c r="N73" i="22"/>
  <c r="Q72" i="22"/>
  <c r="O72" i="22"/>
  <c r="N72" i="22"/>
  <c r="Q71" i="22"/>
  <c r="O71" i="22"/>
  <c r="N71" i="22"/>
  <c r="Q70" i="22"/>
  <c r="O70" i="22"/>
  <c r="N70" i="22"/>
  <c r="Q69" i="22"/>
  <c r="O69" i="22"/>
  <c r="N69" i="22"/>
  <c r="Q68" i="22"/>
  <c r="O68" i="22"/>
  <c r="N68" i="22"/>
  <c r="Q67" i="22"/>
  <c r="O67" i="22"/>
  <c r="N67" i="22"/>
  <c r="Q65" i="22"/>
  <c r="O65" i="22"/>
  <c r="N65" i="22"/>
  <c r="Q64" i="22"/>
  <c r="O64" i="22"/>
  <c r="N64" i="22"/>
  <c r="Q63" i="22"/>
  <c r="O63" i="22"/>
  <c r="N63" i="22"/>
  <c r="Q62" i="22"/>
  <c r="O62" i="22"/>
  <c r="N62" i="22"/>
  <c r="Q61" i="22"/>
  <c r="O61" i="22"/>
  <c r="N61" i="22"/>
  <c r="Q60" i="22"/>
  <c r="O60" i="22"/>
  <c r="N60" i="22"/>
  <c r="Q59" i="22"/>
  <c r="O59" i="22"/>
  <c r="N59" i="22"/>
  <c r="Q58" i="22"/>
  <c r="O58" i="22"/>
  <c r="N58" i="22"/>
  <c r="Q56" i="22"/>
  <c r="O56" i="22"/>
  <c r="N56" i="22"/>
  <c r="Q55" i="22"/>
  <c r="O55" i="22"/>
  <c r="N55" i="22"/>
  <c r="P55" i="22" s="1"/>
  <c r="Q54" i="22"/>
  <c r="O54" i="22"/>
  <c r="N54" i="22"/>
  <c r="Q53" i="22"/>
  <c r="O53" i="22"/>
  <c r="N53" i="22"/>
  <c r="Q51" i="22"/>
  <c r="O51" i="22"/>
  <c r="N51" i="22"/>
  <c r="Q50" i="22"/>
  <c r="O50" i="22"/>
  <c r="N50" i="22"/>
  <c r="Q48" i="22"/>
  <c r="O48" i="22"/>
  <c r="N48" i="22"/>
  <c r="Q47" i="22"/>
  <c r="O47" i="22"/>
  <c r="N47" i="22"/>
  <c r="Q46" i="22"/>
  <c r="O46" i="22"/>
  <c r="N46" i="22"/>
  <c r="Q44" i="22"/>
  <c r="O44" i="22"/>
  <c r="N44" i="22"/>
  <c r="P44" i="22" s="1"/>
  <c r="Q43" i="22"/>
  <c r="O43" i="22"/>
  <c r="N43" i="22"/>
  <c r="Q38" i="22"/>
  <c r="O38" i="22"/>
  <c r="N38" i="22"/>
  <c r="Q37" i="22"/>
  <c r="O37" i="22"/>
  <c r="N37" i="22"/>
  <c r="Q36" i="22"/>
  <c r="O36" i="22"/>
  <c r="N36" i="22"/>
  <c r="P36" i="22" s="1"/>
  <c r="Q35" i="22"/>
  <c r="O35" i="22"/>
  <c r="N35" i="22"/>
  <c r="Q34" i="22"/>
  <c r="O34" i="22"/>
  <c r="Q33" i="22"/>
  <c r="O33" i="22"/>
  <c r="N33" i="22"/>
  <c r="Q32" i="22"/>
  <c r="O32" i="22"/>
  <c r="N32" i="22"/>
  <c r="P32" i="22" s="1"/>
  <c r="Q31" i="22"/>
  <c r="O31" i="22"/>
  <c r="N31" i="22"/>
  <c r="Q30" i="22"/>
  <c r="O30" i="22"/>
  <c r="N30" i="22"/>
  <c r="Q29" i="22"/>
  <c r="O29" i="22"/>
  <c r="N29" i="22"/>
  <c r="Q27" i="22"/>
  <c r="O27" i="22"/>
  <c r="N27" i="22"/>
  <c r="P27" i="22" s="1"/>
  <c r="Q26" i="22"/>
  <c r="O26" i="22"/>
  <c r="N26" i="22"/>
  <c r="G22" i="22"/>
  <c r="I22" i="22"/>
  <c r="K22" i="22"/>
  <c r="M22" i="22"/>
  <c r="D4" i="22"/>
  <c r="F155" i="1"/>
  <c r="F150" i="1"/>
  <c r="F143" i="1"/>
  <c r="J80" i="23" l="1"/>
  <c r="N116" i="23"/>
  <c r="P116" i="23" s="1"/>
  <c r="S116" i="23" s="1"/>
  <c r="N19" i="23"/>
  <c r="P19" i="23" s="1"/>
  <c r="S19" i="23" s="1"/>
  <c r="N91" i="23"/>
  <c r="P91" i="23" s="1"/>
  <c r="S91" i="23" s="1"/>
  <c r="N123" i="23"/>
  <c r="P123" i="23" s="1"/>
  <c r="S123" i="23" s="1"/>
  <c r="N111" i="23"/>
  <c r="P111" i="23" s="1"/>
  <c r="S111" i="23" s="1"/>
  <c r="N124" i="23"/>
  <c r="P124" i="23" s="1"/>
  <c r="S124" i="23" s="1"/>
  <c r="N118" i="23"/>
  <c r="P118" i="23" s="1"/>
  <c r="S118" i="23" s="1"/>
  <c r="N153" i="23"/>
  <c r="P153" i="23" s="1"/>
  <c r="S153" i="23" s="1"/>
  <c r="N18" i="23"/>
  <c r="P18" i="23" s="1"/>
  <c r="S18" i="23" s="1"/>
  <c r="N125" i="23"/>
  <c r="P125" i="23" s="1"/>
  <c r="S125" i="23" s="1"/>
  <c r="J137" i="23"/>
  <c r="N93" i="23"/>
  <c r="P93" i="23" s="1"/>
  <c r="S93" i="23" s="1"/>
  <c r="N90" i="23"/>
  <c r="P90" i="23" s="1"/>
  <c r="S90" i="23" s="1"/>
  <c r="S32" i="22"/>
  <c r="S44" i="22"/>
  <c r="S55" i="22"/>
  <c r="S84" i="22"/>
  <c r="S91" i="22"/>
  <c r="S101" i="22"/>
  <c r="S123" i="22"/>
  <c r="S133" i="22"/>
  <c r="J106" i="23"/>
  <c r="S27" i="22"/>
  <c r="S36" i="22"/>
  <c r="S105" i="22"/>
  <c r="S117" i="22"/>
  <c r="N27" i="23"/>
  <c r="P27" i="23" s="1"/>
  <c r="S27" i="23" s="1"/>
  <c r="N94" i="23"/>
  <c r="P94" i="23" s="1"/>
  <c r="S94" i="23" s="1"/>
  <c r="N134" i="23"/>
  <c r="P134" i="23" s="1"/>
  <c r="S134" i="23" s="1"/>
  <c r="N100" i="23"/>
  <c r="P100" i="23" s="1"/>
  <c r="S100" i="23" s="1"/>
  <c r="N32" i="23"/>
  <c r="P32" i="23" s="1"/>
  <c r="S32" i="23" s="1"/>
  <c r="N16" i="23"/>
  <c r="P16" i="23" s="1"/>
  <c r="S16" i="23" s="1"/>
  <c r="N36" i="23"/>
  <c r="P36" i="23" s="1"/>
  <c r="S36" i="23" s="1"/>
  <c r="N33" i="23"/>
  <c r="P33" i="23" s="1"/>
  <c r="S33" i="23" s="1"/>
  <c r="N78" i="23"/>
  <c r="P78" i="23" s="1"/>
  <c r="S78" i="23" s="1"/>
  <c r="N146" i="23"/>
  <c r="P146" i="23" s="1"/>
  <c r="S146" i="23" s="1"/>
  <c r="N154" i="23"/>
  <c r="P154" i="23" s="1"/>
  <c r="S154" i="23" s="1"/>
  <c r="P92" i="22"/>
  <c r="S92" i="22" s="1"/>
  <c r="P96" i="22"/>
  <c r="S96" i="22" s="1"/>
  <c r="P108" i="22"/>
  <c r="S108" i="22" s="1"/>
  <c r="P118" i="22"/>
  <c r="S118" i="22" s="1"/>
  <c r="P140" i="22"/>
  <c r="S140" i="22" s="1"/>
  <c r="P146" i="22"/>
  <c r="S146" i="22" s="1"/>
  <c r="P152" i="22"/>
  <c r="S152" i="22" s="1"/>
  <c r="N92" i="23"/>
  <c r="P92" i="23" s="1"/>
  <c r="S92" i="23" s="1"/>
  <c r="N103" i="23"/>
  <c r="P103" i="23" s="1"/>
  <c r="S103" i="23" s="1"/>
  <c r="N122" i="23"/>
  <c r="P122" i="23" s="1"/>
  <c r="S122" i="23" s="1"/>
  <c r="N140" i="23"/>
  <c r="P140" i="23" s="1"/>
  <c r="S140" i="23" s="1"/>
  <c r="J97" i="23"/>
  <c r="P31" i="22"/>
  <c r="S31" i="22" s="1"/>
  <c r="P100" i="22"/>
  <c r="S100" i="22" s="1"/>
  <c r="P110" i="22"/>
  <c r="S110" i="22" s="1"/>
  <c r="P116" i="22"/>
  <c r="S116" i="22" s="1"/>
  <c r="N31" i="23"/>
  <c r="P31" i="23" s="1"/>
  <c r="S31" i="23" s="1"/>
  <c r="N20" i="23"/>
  <c r="P20" i="23" s="1"/>
  <c r="S20" i="23" s="1"/>
  <c r="N84" i="23"/>
  <c r="P84" i="23" s="1"/>
  <c r="S84" i="23" s="1"/>
  <c r="N96" i="23"/>
  <c r="P96" i="23" s="1"/>
  <c r="S96" i="23" s="1"/>
  <c r="N104" i="23"/>
  <c r="P104" i="23" s="1"/>
  <c r="S104" i="23" s="1"/>
  <c r="N15" i="23"/>
  <c r="P15" i="23" s="1"/>
  <c r="S15" i="23" s="1"/>
  <c r="J112" i="23"/>
  <c r="N37" i="23"/>
  <c r="P37" i="23" s="1"/>
  <c r="S37" i="23" s="1"/>
  <c r="N77" i="23"/>
  <c r="P77" i="23" s="1"/>
  <c r="S77" i="23" s="1"/>
  <c r="N102" i="23"/>
  <c r="P102" i="23" s="1"/>
  <c r="S102" i="23" s="1"/>
  <c r="N129" i="23"/>
  <c r="P129" i="23" s="1"/>
  <c r="S129" i="23" s="1"/>
  <c r="N133" i="23"/>
  <c r="P133" i="23" s="1"/>
  <c r="S133" i="23" s="1"/>
  <c r="N141" i="23"/>
  <c r="P141" i="23" s="1"/>
  <c r="S141" i="23" s="1"/>
  <c r="N142" i="23"/>
  <c r="P142" i="23" s="1"/>
  <c r="S142" i="23" s="1"/>
  <c r="J150" i="23"/>
  <c r="L38" i="23"/>
  <c r="J38" i="24" s="1"/>
  <c r="L38" i="24" s="1"/>
  <c r="L29" i="23"/>
  <c r="J29" i="24" s="1"/>
  <c r="L29" i="24" s="1"/>
  <c r="L105" i="23"/>
  <c r="J105" i="24" s="1"/>
  <c r="L105" i="24" s="1"/>
  <c r="L110" i="23"/>
  <c r="J110" i="24" s="1"/>
  <c r="L110" i="24" s="1"/>
  <c r="L133" i="23"/>
  <c r="J133" i="24" s="1"/>
  <c r="L133" i="24" s="1"/>
  <c r="L147" i="23"/>
  <c r="J147" i="24" s="1"/>
  <c r="L147" i="24" s="1"/>
  <c r="L149" i="23"/>
  <c r="J149" i="24" s="1"/>
  <c r="L149" i="24" s="1"/>
  <c r="L35" i="23"/>
  <c r="J35" i="24" s="1"/>
  <c r="L35" i="24" s="1"/>
  <c r="L102" i="23"/>
  <c r="J102" i="24" s="1"/>
  <c r="L102" i="24" s="1"/>
  <c r="L21" i="23"/>
  <c r="J21" i="24" s="1"/>
  <c r="L21" i="24" s="1"/>
  <c r="L44" i="23"/>
  <c r="J44" i="24" s="1"/>
  <c r="L44" i="24" s="1"/>
  <c r="L95" i="23"/>
  <c r="J95" i="24" s="1"/>
  <c r="L95" i="24" s="1"/>
  <c r="L109" i="23"/>
  <c r="J109" i="24" s="1"/>
  <c r="L109" i="24" s="1"/>
  <c r="L128" i="23"/>
  <c r="J128" i="24" s="1"/>
  <c r="L128" i="24" s="1"/>
  <c r="L136" i="23"/>
  <c r="J136" i="24" s="1"/>
  <c r="L136" i="24" s="1"/>
  <c r="L46" i="23"/>
  <c r="J46" i="24" s="1"/>
  <c r="L46" i="24" s="1"/>
  <c r="L115" i="23"/>
  <c r="J115" i="24" s="1"/>
  <c r="L115" i="24" s="1"/>
  <c r="L83" i="23"/>
  <c r="J83" i="24" s="1"/>
  <c r="L83" i="24" s="1"/>
  <c r="L126" i="23"/>
  <c r="J126" i="24" s="1"/>
  <c r="L126" i="24" s="1"/>
  <c r="J39" i="23"/>
  <c r="J119" i="23"/>
  <c r="N44" i="23"/>
  <c r="P44" i="23" s="1"/>
  <c r="S44" i="23" s="1"/>
  <c r="N101" i="23"/>
  <c r="P101" i="23" s="1"/>
  <c r="S101" i="23" s="1"/>
  <c r="N117" i="23"/>
  <c r="P117" i="23" s="1"/>
  <c r="S117" i="23" s="1"/>
  <c r="N135" i="23"/>
  <c r="P135" i="23" s="1"/>
  <c r="S135" i="23" s="1"/>
  <c r="N148" i="23"/>
  <c r="P148" i="23" s="1"/>
  <c r="S148" i="23" s="1"/>
  <c r="J143" i="23"/>
  <c r="J155" i="23"/>
  <c r="P149" i="22"/>
  <c r="S149" i="22" s="1"/>
  <c r="Q150" i="22"/>
  <c r="P134" i="22"/>
  <c r="S134" i="22" s="1"/>
  <c r="O130" i="22"/>
  <c r="P124" i="22"/>
  <c r="S124" i="22" s="1"/>
  <c r="P128" i="22"/>
  <c r="S128" i="22" s="1"/>
  <c r="O106" i="22"/>
  <c r="P102" i="22"/>
  <c r="S102" i="22" s="1"/>
  <c r="P43" i="22"/>
  <c r="S43" i="22" s="1"/>
  <c r="P54" i="22"/>
  <c r="S54" i="22" s="1"/>
  <c r="P47" i="22"/>
  <c r="S47" i="22" s="1"/>
  <c r="G85" i="22"/>
  <c r="K85" i="22"/>
  <c r="P90" i="22"/>
  <c r="S90" i="22" s="1"/>
  <c r="Q97" i="22"/>
  <c r="Q106" i="22"/>
  <c r="O112" i="22"/>
  <c r="O119" i="22"/>
  <c r="O155" i="22"/>
  <c r="I156" i="22"/>
  <c r="M85" i="22"/>
  <c r="Q39" i="22"/>
  <c r="O39" i="22"/>
  <c r="P30" i="22"/>
  <c r="S30" i="22" s="1"/>
  <c r="P38" i="22"/>
  <c r="S38" i="22" s="1"/>
  <c r="O80" i="22"/>
  <c r="P48" i="22"/>
  <c r="S48" i="22" s="1"/>
  <c r="Q112" i="22"/>
  <c r="P122" i="22"/>
  <c r="S122" i="22" s="1"/>
  <c r="P132" i="22"/>
  <c r="S132" i="22" s="1"/>
  <c r="O143" i="22"/>
  <c r="O150" i="22"/>
  <c r="P154" i="22"/>
  <c r="S154" i="22" s="1"/>
  <c r="I85" i="22"/>
  <c r="P33" i="22"/>
  <c r="S33" i="22" s="1"/>
  <c r="Q80" i="22"/>
  <c r="P46" i="22"/>
  <c r="S46" i="22" s="1"/>
  <c r="P51" i="22"/>
  <c r="S51" i="22" s="1"/>
  <c r="P56" i="22"/>
  <c r="S56" i="22" s="1"/>
  <c r="P61" i="22"/>
  <c r="S61" i="22" s="1"/>
  <c r="P65" i="22"/>
  <c r="S65" i="22" s="1"/>
  <c r="P70" i="22"/>
  <c r="S70" i="22" s="1"/>
  <c r="P74" i="22"/>
  <c r="S74" i="22" s="1"/>
  <c r="P78" i="22"/>
  <c r="S78" i="22" s="1"/>
  <c r="P93" i="22"/>
  <c r="S93" i="22" s="1"/>
  <c r="P109" i="22"/>
  <c r="S109" i="22" s="1"/>
  <c r="P121" i="22"/>
  <c r="S121" i="22" s="1"/>
  <c r="P129" i="22"/>
  <c r="S129" i="22" s="1"/>
  <c r="O137" i="22"/>
  <c r="P135" i="22"/>
  <c r="S135" i="22" s="1"/>
  <c r="P141" i="22"/>
  <c r="S141" i="22" s="1"/>
  <c r="P153" i="22"/>
  <c r="S153" i="22" s="1"/>
  <c r="K156" i="22"/>
  <c r="G156" i="22"/>
  <c r="M156" i="22"/>
  <c r="L155" i="23"/>
  <c r="L143" i="23"/>
  <c r="P94" i="22"/>
  <c r="S94" i="22" s="1"/>
  <c r="L74" i="24"/>
  <c r="N74" i="24"/>
  <c r="P74" i="24" s="1"/>
  <c r="S74" i="24" s="1"/>
  <c r="L58" i="24"/>
  <c r="N58" i="24"/>
  <c r="P58" i="24" s="1"/>
  <c r="S58" i="24" s="1"/>
  <c r="L60" i="24"/>
  <c r="N60" i="24"/>
  <c r="P60" i="24" s="1"/>
  <c r="S60" i="24" s="1"/>
  <c r="L67" i="24"/>
  <c r="N67" i="24"/>
  <c r="P67" i="24" s="1"/>
  <c r="S67" i="24" s="1"/>
  <c r="P60" i="22"/>
  <c r="S60" i="22" s="1"/>
  <c r="P64" i="22"/>
  <c r="S64" i="22" s="1"/>
  <c r="N73" i="24"/>
  <c r="P73" i="24" s="1"/>
  <c r="S73" i="24" s="1"/>
  <c r="L73" i="24"/>
  <c r="L72" i="24"/>
  <c r="N72" i="24"/>
  <c r="P72" i="24" s="1"/>
  <c r="S72" i="24" s="1"/>
  <c r="N63" i="24"/>
  <c r="P63" i="24" s="1"/>
  <c r="S63" i="24" s="1"/>
  <c r="L63" i="24"/>
  <c r="N71" i="24"/>
  <c r="P71" i="24" s="1"/>
  <c r="S71" i="24" s="1"/>
  <c r="L71" i="24"/>
  <c r="L70" i="24"/>
  <c r="N70" i="24"/>
  <c r="P70" i="24" s="1"/>
  <c r="S70" i="24" s="1"/>
  <c r="N59" i="24"/>
  <c r="P59" i="24" s="1"/>
  <c r="S59" i="24" s="1"/>
  <c r="L59" i="24"/>
  <c r="N61" i="24"/>
  <c r="P61" i="24" s="1"/>
  <c r="S61" i="24" s="1"/>
  <c r="L61" i="24"/>
  <c r="N69" i="24"/>
  <c r="P69" i="24" s="1"/>
  <c r="S69" i="24" s="1"/>
  <c r="L69" i="24"/>
  <c r="N68" i="24"/>
  <c r="P68" i="24" s="1"/>
  <c r="S68" i="24" s="1"/>
  <c r="L68" i="24"/>
  <c r="L75" i="24"/>
  <c r="N75" i="24"/>
  <c r="P75" i="24" s="1"/>
  <c r="S75" i="24" s="1"/>
  <c r="N65" i="24"/>
  <c r="P65" i="24" s="1"/>
  <c r="S65" i="24" s="1"/>
  <c r="L65" i="24"/>
  <c r="L64" i="24"/>
  <c r="N64" i="24"/>
  <c r="P64" i="24" s="1"/>
  <c r="S64" i="24" s="1"/>
  <c r="N62" i="24"/>
  <c r="P62" i="24" s="1"/>
  <c r="S62" i="24" s="1"/>
  <c r="L62" i="24"/>
  <c r="N54" i="24"/>
  <c r="P54" i="24" s="1"/>
  <c r="S54" i="24" s="1"/>
  <c r="L54" i="24"/>
  <c r="L55" i="24"/>
  <c r="N55" i="24"/>
  <c r="P55" i="24" s="1"/>
  <c r="S55" i="24" s="1"/>
  <c r="L53" i="24"/>
  <c r="N53" i="24"/>
  <c r="P53" i="24" s="1"/>
  <c r="S53" i="24" s="1"/>
  <c r="N56" i="24"/>
  <c r="P56" i="24" s="1"/>
  <c r="S56" i="24" s="1"/>
  <c r="L56" i="24"/>
  <c r="L50" i="24"/>
  <c r="N50" i="24"/>
  <c r="P50" i="24" s="1"/>
  <c r="S50" i="24" s="1"/>
  <c r="N51" i="24"/>
  <c r="P51" i="24" s="1"/>
  <c r="S51" i="24" s="1"/>
  <c r="L51" i="24"/>
  <c r="N47" i="24"/>
  <c r="P47" i="24" s="1"/>
  <c r="S47" i="24" s="1"/>
  <c r="L14" i="24"/>
  <c r="N14" i="24"/>
  <c r="P14" i="24" s="1"/>
  <c r="S14" i="24" s="1"/>
  <c r="N153" i="24"/>
  <c r="P153" i="24" s="1"/>
  <c r="S153" i="24" s="1"/>
  <c r="H155" i="23"/>
  <c r="N154" i="24"/>
  <c r="P154" i="24" s="1"/>
  <c r="S154" i="24" s="1"/>
  <c r="P152" i="23"/>
  <c r="S152" i="23" s="1"/>
  <c r="P147" i="22"/>
  <c r="S147" i="22" s="1"/>
  <c r="N146" i="24"/>
  <c r="P146" i="24" s="1"/>
  <c r="S146" i="24" s="1"/>
  <c r="N150" i="22"/>
  <c r="N148" i="24"/>
  <c r="P148" i="24" s="1"/>
  <c r="S148" i="24" s="1"/>
  <c r="P145" i="23"/>
  <c r="S145" i="23" s="1"/>
  <c r="H150" i="23"/>
  <c r="H143" i="23"/>
  <c r="N143" i="22"/>
  <c r="N140" i="24"/>
  <c r="P140" i="24" s="1"/>
  <c r="S140" i="24" s="1"/>
  <c r="N142" i="24"/>
  <c r="P142" i="24" s="1"/>
  <c r="S142" i="24" s="1"/>
  <c r="N141" i="24"/>
  <c r="P141" i="24" s="1"/>
  <c r="S141" i="24" s="1"/>
  <c r="P139" i="23"/>
  <c r="S139" i="23" s="1"/>
  <c r="N135" i="24"/>
  <c r="P135" i="24" s="1"/>
  <c r="S135" i="24" s="1"/>
  <c r="P132" i="23"/>
  <c r="S132" i="23" s="1"/>
  <c r="H137" i="23"/>
  <c r="P136" i="22"/>
  <c r="S136" i="22" s="1"/>
  <c r="N134" i="24"/>
  <c r="P134" i="24" s="1"/>
  <c r="S134" i="24" s="1"/>
  <c r="N125" i="24"/>
  <c r="P125" i="24" s="1"/>
  <c r="S125" i="24" s="1"/>
  <c r="N123" i="24"/>
  <c r="P123" i="24" s="1"/>
  <c r="S123" i="24" s="1"/>
  <c r="P125" i="22"/>
  <c r="S125" i="22" s="1"/>
  <c r="N129" i="24"/>
  <c r="P129" i="24" s="1"/>
  <c r="S129" i="24" s="1"/>
  <c r="P121" i="23"/>
  <c r="S121" i="23" s="1"/>
  <c r="N122" i="24"/>
  <c r="P122" i="24" s="1"/>
  <c r="S122" i="24" s="1"/>
  <c r="N124" i="24"/>
  <c r="P124" i="24" s="1"/>
  <c r="S124" i="24" s="1"/>
  <c r="H119" i="23"/>
  <c r="N117" i="24"/>
  <c r="P117" i="24" s="1"/>
  <c r="S117" i="24" s="1"/>
  <c r="P114" i="23"/>
  <c r="S114" i="23" s="1"/>
  <c r="N118" i="24"/>
  <c r="P118" i="24" s="1"/>
  <c r="S118" i="24" s="1"/>
  <c r="N116" i="24"/>
  <c r="P116" i="24" s="1"/>
  <c r="S116" i="24" s="1"/>
  <c r="H112" i="23"/>
  <c r="P108" i="23"/>
  <c r="S108" i="23" s="1"/>
  <c r="P111" i="22"/>
  <c r="S111" i="22" s="1"/>
  <c r="N111" i="24"/>
  <c r="P111" i="24" s="1"/>
  <c r="S111" i="24" s="1"/>
  <c r="P99" i="23"/>
  <c r="S99" i="23" s="1"/>
  <c r="N104" i="24"/>
  <c r="P104" i="24" s="1"/>
  <c r="S104" i="24" s="1"/>
  <c r="N103" i="24"/>
  <c r="P103" i="24" s="1"/>
  <c r="S103" i="24" s="1"/>
  <c r="P103" i="22"/>
  <c r="S103" i="22" s="1"/>
  <c r="H106" i="23"/>
  <c r="N101" i="24"/>
  <c r="P101" i="24" s="1"/>
  <c r="S101" i="24" s="1"/>
  <c r="N100" i="24"/>
  <c r="P100" i="24" s="1"/>
  <c r="S100" i="24" s="1"/>
  <c r="N93" i="24"/>
  <c r="P93" i="24" s="1"/>
  <c r="S93" i="24" s="1"/>
  <c r="N96" i="24"/>
  <c r="P96" i="24" s="1"/>
  <c r="S96" i="24" s="1"/>
  <c r="P89" i="23"/>
  <c r="S89" i="23" s="1"/>
  <c r="N94" i="24"/>
  <c r="P94" i="24" s="1"/>
  <c r="S94" i="24" s="1"/>
  <c r="H97" i="23"/>
  <c r="N91" i="24"/>
  <c r="P91" i="24" s="1"/>
  <c r="S91" i="24" s="1"/>
  <c r="N90" i="24"/>
  <c r="P90" i="24" s="1"/>
  <c r="S90" i="24" s="1"/>
  <c r="N92" i="24"/>
  <c r="P92" i="24" s="1"/>
  <c r="S92" i="24" s="1"/>
  <c r="N84" i="24"/>
  <c r="P84" i="24" s="1"/>
  <c r="S84" i="24" s="1"/>
  <c r="N76" i="24"/>
  <c r="P76" i="24" s="1"/>
  <c r="S76" i="24" s="1"/>
  <c r="N78" i="24"/>
  <c r="P78" i="24" s="1"/>
  <c r="S78" i="24" s="1"/>
  <c r="N79" i="24"/>
  <c r="P79" i="24" s="1"/>
  <c r="S79" i="24" s="1"/>
  <c r="N77" i="24"/>
  <c r="P77" i="24" s="1"/>
  <c r="S77" i="24" s="1"/>
  <c r="H80" i="23"/>
  <c r="P43" i="23"/>
  <c r="S43" i="23" s="1"/>
  <c r="N37" i="24"/>
  <c r="P37" i="24" s="1"/>
  <c r="S37" i="24" s="1"/>
  <c r="N32" i="24"/>
  <c r="P32" i="24" s="1"/>
  <c r="S32" i="24" s="1"/>
  <c r="N31" i="24"/>
  <c r="P31" i="24" s="1"/>
  <c r="S31" i="24" s="1"/>
  <c r="N36" i="24"/>
  <c r="P36" i="24" s="1"/>
  <c r="S36" i="24" s="1"/>
  <c r="N30" i="24"/>
  <c r="P30" i="24" s="1"/>
  <c r="S30" i="24" s="1"/>
  <c r="N33" i="24"/>
  <c r="P33" i="24" s="1"/>
  <c r="S33" i="24" s="1"/>
  <c r="N27" i="24"/>
  <c r="P27" i="24" s="1"/>
  <c r="S27" i="24" s="1"/>
  <c r="P26" i="23"/>
  <c r="S26" i="23" s="1"/>
  <c r="P26" i="22"/>
  <c r="S26" i="22" s="1"/>
  <c r="N15" i="24"/>
  <c r="P15" i="24" s="1"/>
  <c r="S15" i="24" s="1"/>
  <c r="N20" i="24"/>
  <c r="P20" i="24" s="1"/>
  <c r="S20" i="24" s="1"/>
  <c r="N17" i="24"/>
  <c r="P17" i="24" s="1"/>
  <c r="S17" i="24" s="1"/>
  <c r="N16" i="24"/>
  <c r="P16" i="24" s="1"/>
  <c r="S16" i="24" s="1"/>
  <c r="N19" i="24"/>
  <c r="P19" i="24" s="1"/>
  <c r="S19" i="24" s="1"/>
  <c r="N18" i="24"/>
  <c r="P18" i="24" s="1"/>
  <c r="S18" i="24" s="1"/>
  <c r="P58" i="22"/>
  <c r="S58" i="22" s="1"/>
  <c r="P62" i="22"/>
  <c r="S62" i="22" s="1"/>
  <c r="P67" i="22"/>
  <c r="S67" i="22" s="1"/>
  <c r="P71" i="22"/>
  <c r="S71" i="22" s="1"/>
  <c r="P75" i="22"/>
  <c r="S75" i="22" s="1"/>
  <c r="P79" i="22"/>
  <c r="S79" i="22" s="1"/>
  <c r="P114" i="22"/>
  <c r="S114" i="22" s="1"/>
  <c r="P29" i="22"/>
  <c r="S29" i="22" s="1"/>
  <c r="P37" i="22"/>
  <c r="S37" i="22" s="1"/>
  <c r="P53" i="22"/>
  <c r="S53" i="22" s="1"/>
  <c r="N80" i="22"/>
  <c r="N106" i="22"/>
  <c r="P145" i="22"/>
  <c r="S145" i="22" s="1"/>
  <c r="Q137" i="22"/>
  <c r="Q155" i="22"/>
  <c r="Q130" i="22"/>
  <c r="P35" i="22"/>
  <c r="S35" i="22" s="1"/>
  <c r="P50" i="22"/>
  <c r="S50" i="22" s="1"/>
  <c r="P59" i="22"/>
  <c r="S59" i="22" s="1"/>
  <c r="P63" i="22"/>
  <c r="S63" i="22" s="1"/>
  <c r="P68" i="22"/>
  <c r="S68" i="22" s="1"/>
  <c r="P69" i="22"/>
  <c r="S69" i="22" s="1"/>
  <c r="P72" i="22"/>
  <c r="S72" i="22" s="1"/>
  <c r="P73" i="22"/>
  <c r="S73" i="22" s="1"/>
  <c r="P76" i="22"/>
  <c r="S76" i="22" s="1"/>
  <c r="P77" i="22"/>
  <c r="S77" i="22" s="1"/>
  <c r="P83" i="22"/>
  <c r="S83" i="22" s="1"/>
  <c r="P89" i="22"/>
  <c r="S89" i="22" s="1"/>
  <c r="O97" i="22"/>
  <c r="P95" i="22"/>
  <c r="S95" i="22" s="1"/>
  <c r="P104" i="22"/>
  <c r="S104" i="22" s="1"/>
  <c r="P115" i="22"/>
  <c r="S115" i="22" s="1"/>
  <c r="P126" i="22"/>
  <c r="S126" i="22" s="1"/>
  <c r="P139" i="22"/>
  <c r="S139" i="22" s="1"/>
  <c r="P148" i="22"/>
  <c r="S148" i="22" s="1"/>
  <c r="Q119" i="22"/>
  <c r="Q143" i="22"/>
  <c r="P99" i="22"/>
  <c r="S99" i="22" s="1"/>
  <c r="N119" i="22"/>
  <c r="N155" i="22"/>
  <c r="P142" i="22"/>
  <c r="S142" i="22" s="1"/>
  <c r="N137" i="22"/>
  <c r="N112" i="22"/>
  <c r="N97" i="22"/>
  <c r="K154" i="1"/>
  <c r="J154" i="1"/>
  <c r="K153" i="1"/>
  <c r="J153" i="1"/>
  <c r="K152" i="1"/>
  <c r="J152" i="1"/>
  <c r="K149" i="1"/>
  <c r="J149" i="1"/>
  <c r="K148" i="1"/>
  <c r="J148" i="1"/>
  <c r="K147" i="1"/>
  <c r="J147" i="1"/>
  <c r="K146" i="1"/>
  <c r="J146" i="1"/>
  <c r="K145" i="1"/>
  <c r="J145" i="1"/>
  <c r="K142" i="1"/>
  <c r="J142" i="1"/>
  <c r="K141" i="1"/>
  <c r="J141" i="1"/>
  <c r="K140" i="1"/>
  <c r="J140" i="1"/>
  <c r="K139" i="1"/>
  <c r="J139" i="1"/>
  <c r="K136" i="1"/>
  <c r="J136" i="1"/>
  <c r="K135" i="1"/>
  <c r="J135" i="1"/>
  <c r="K134" i="1"/>
  <c r="J134" i="1"/>
  <c r="K133" i="1"/>
  <c r="J133" i="1"/>
  <c r="K132" i="1"/>
  <c r="J132" i="1"/>
  <c r="K129" i="1"/>
  <c r="J129" i="1"/>
  <c r="K128" i="1"/>
  <c r="J128" i="1"/>
  <c r="J127" i="1"/>
  <c r="K126" i="1"/>
  <c r="J126" i="1"/>
  <c r="K125" i="1"/>
  <c r="J125" i="1"/>
  <c r="K124" i="1"/>
  <c r="J124" i="1"/>
  <c r="K123" i="1"/>
  <c r="J123" i="1"/>
  <c r="K122" i="1"/>
  <c r="J122" i="1"/>
  <c r="K121" i="1"/>
  <c r="J121" i="1"/>
  <c r="K118" i="1"/>
  <c r="J118" i="1"/>
  <c r="K117" i="1"/>
  <c r="J117" i="1"/>
  <c r="K116" i="1"/>
  <c r="J116" i="1"/>
  <c r="K115" i="1"/>
  <c r="J115" i="1"/>
  <c r="K114" i="1"/>
  <c r="J114" i="1"/>
  <c r="K111" i="1"/>
  <c r="J111" i="1"/>
  <c r="K110" i="1"/>
  <c r="J110" i="1"/>
  <c r="K109" i="1"/>
  <c r="J109" i="1"/>
  <c r="K108" i="1"/>
  <c r="J108" i="1"/>
  <c r="K105" i="1"/>
  <c r="J105" i="1"/>
  <c r="K104" i="1"/>
  <c r="J104" i="1"/>
  <c r="K103" i="1"/>
  <c r="J103" i="1"/>
  <c r="K102" i="1"/>
  <c r="J102" i="1"/>
  <c r="K101" i="1"/>
  <c r="J101" i="1"/>
  <c r="K100" i="1"/>
  <c r="J100" i="1"/>
  <c r="K99" i="1"/>
  <c r="J99" i="1"/>
  <c r="K96" i="1"/>
  <c r="J96" i="1"/>
  <c r="K95" i="1"/>
  <c r="J95" i="1"/>
  <c r="K94" i="1"/>
  <c r="J94" i="1"/>
  <c r="K93" i="1"/>
  <c r="J93" i="1"/>
  <c r="K92" i="1"/>
  <c r="J92" i="1"/>
  <c r="K91" i="1"/>
  <c r="J91" i="1"/>
  <c r="K90" i="1"/>
  <c r="J90" i="1"/>
  <c r="K89" i="1"/>
  <c r="J89" i="1"/>
  <c r="K84" i="1"/>
  <c r="J84" i="1"/>
  <c r="K83" i="1"/>
  <c r="J83" i="1"/>
  <c r="K79" i="1"/>
  <c r="J79" i="1"/>
  <c r="K78" i="1"/>
  <c r="J78" i="1"/>
  <c r="K77" i="1"/>
  <c r="J77" i="1"/>
  <c r="K76" i="1"/>
  <c r="J76" i="1"/>
  <c r="K75" i="1"/>
  <c r="J75" i="1"/>
  <c r="K74" i="1"/>
  <c r="J74" i="1"/>
  <c r="K73" i="1"/>
  <c r="J73" i="1"/>
  <c r="K72" i="1"/>
  <c r="J72" i="1"/>
  <c r="K70" i="1"/>
  <c r="J70" i="1"/>
  <c r="K69" i="1"/>
  <c r="J69" i="1"/>
  <c r="K68" i="1"/>
  <c r="J68" i="1"/>
  <c r="K67" i="1"/>
  <c r="J67" i="1"/>
  <c r="K66" i="1"/>
  <c r="J66" i="1"/>
  <c r="K65" i="1"/>
  <c r="J65" i="1"/>
  <c r="K64" i="1"/>
  <c r="J64" i="1"/>
  <c r="K63" i="1"/>
  <c r="J63" i="1"/>
  <c r="K62" i="1"/>
  <c r="J62" i="1"/>
  <c r="K61" i="1"/>
  <c r="J61" i="1"/>
  <c r="K60" i="1"/>
  <c r="J60" i="1"/>
  <c r="K59" i="1"/>
  <c r="J59" i="1"/>
  <c r="K58" i="1"/>
  <c r="J58" i="1"/>
  <c r="K56" i="1"/>
  <c r="J56" i="1"/>
  <c r="K55" i="1"/>
  <c r="J55" i="1"/>
  <c r="K54" i="1"/>
  <c r="J54" i="1"/>
  <c r="K53" i="1"/>
  <c r="J53" i="1"/>
  <c r="K51" i="1"/>
  <c r="J51" i="1"/>
  <c r="K50" i="1"/>
  <c r="J50" i="1"/>
  <c r="K48" i="1"/>
  <c r="J48" i="1"/>
  <c r="K47" i="1"/>
  <c r="J47" i="1"/>
  <c r="K46" i="1"/>
  <c r="J46" i="1"/>
  <c r="K44" i="1"/>
  <c r="J44" i="1"/>
  <c r="K43" i="1"/>
  <c r="J43" i="1"/>
  <c r="K38" i="1"/>
  <c r="J38" i="1"/>
  <c r="K37" i="1"/>
  <c r="J37" i="1"/>
  <c r="K36" i="1"/>
  <c r="J36" i="1"/>
  <c r="K35" i="1"/>
  <c r="J35" i="1"/>
  <c r="J34" i="1"/>
  <c r="K33" i="1"/>
  <c r="J33" i="1"/>
  <c r="K32" i="1"/>
  <c r="J32" i="1"/>
  <c r="K31" i="1"/>
  <c r="J31" i="1"/>
  <c r="K30" i="1"/>
  <c r="J30" i="1"/>
  <c r="K29" i="1"/>
  <c r="J29" i="1"/>
  <c r="K27" i="1"/>
  <c r="J27" i="1"/>
  <c r="K26" i="1"/>
  <c r="J26" i="1"/>
  <c r="K21" i="1"/>
  <c r="J21" i="1"/>
  <c r="K20" i="1"/>
  <c r="J20" i="1"/>
  <c r="K19" i="1"/>
  <c r="J19" i="1"/>
  <c r="K18" i="1"/>
  <c r="J18" i="1"/>
  <c r="K17" i="1"/>
  <c r="J17" i="1"/>
  <c r="K16" i="1"/>
  <c r="J16" i="1"/>
  <c r="K15" i="1"/>
  <c r="J15" i="1"/>
  <c r="K14" i="1"/>
  <c r="J14" i="1"/>
  <c r="M38" i="1" l="1"/>
  <c r="M66" i="1"/>
  <c r="N112" i="23"/>
  <c r="N155" i="23"/>
  <c r="M79" i="1"/>
  <c r="M17" i="1"/>
  <c r="M21" i="1"/>
  <c r="M30" i="1"/>
  <c r="M47" i="1"/>
  <c r="M53" i="1"/>
  <c r="M58" i="1"/>
  <c r="M62" i="1"/>
  <c r="M110" i="1"/>
  <c r="M116" i="1"/>
  <c r="M122" i="1"/>
  <c r="M126" i="1"/>
  <c r="M142" i="1"/>
  <c r="M148" i="1"/>
  <c r="M154" i="1"/>
  <c r="M70" i="1"/>
  <c r="M75" i="1"/>
  <c r="M132" i="1"/>
  <c r="M136" i="1"/>
  <c r="M100" i="1"/>
  <c r="M104" i="1"/>
  <c r="M90" i="1"/>
  <c r="M94" i="1"/>
  <c r="M16" i="1"/>
  <c r="M20" i="1"/>
  <c r="M29" i="1"/>
  <c r="M33" i="1"/>
  <c r="M37" i="1"/>
  <c r="M46" i="1"/>
  <c r="M51" i="1"/>
  <c r="M56" i="1"/>
  <c r="M61" i="1"/>
  <c r="M65" i="1"/>
  <c r="M69" i="1"/>
  <c r="M74" i="1"/>
  <c r="M78" i="1"/>
  <c r="M89" i="1"/>
  <c r="M93" i="1"/>
  <c r="M99" i="1"/>
  <c r="M103" i="1"/>
  <c r="M109" i="1"/>
  <c r="M115" i="1"/>
  <c r="M121" i="1"/>
  <c r="M125" i="1"/>
  <c r="M129" i="1"/>
  <c r="M135" i="1"/>
  <c r="M141" i="1"/>
  <c r="M147" i="1"/>
  <c r="M153" i="1"/>
  <c r="N35" i="24"/>
  <c r="P35" i="24" s="1"/>
  <c r="S35" i="24" s="1"/>
  <c r="M14" i="1"/>
  <c r="M18" i="1"/>
  <c r="M26" i="1"/>
  <c r="M31" i="1"/>
  <c r="M35" i="1"/>
  <c r="M43" i="1"/>
  <c r="M48" i="1"/>
  <c r="M54" i="1"/>
  <c r="M59" i="1"/>
  <c r="M63" i="1"/>
  <c r="M67" i="1"/>
  <c r="M72" i="1"/>
  <c r="M76" i="1"/>
  <c r="M83" i="1"/>
  <c r="M91" i="1"/>
  <c r="M95" i="1"/>
  <c r="M101" i="1"/>
  <c r="M105" i="1"/>
  <c r="M111" i="1"/>
  <c r="M117" i="1"/>
  <c r="M123" i="1"/>
  <c r="M133" i="1"/>
  <c r="M139" i="1"/>
  <c r="M145" i="1"/>
  <c r="M149" i="1"/>
  <c r="M15" i="1"/>
  <c r="M19" i="1"/>
  <c r="M27" i="1"/>
  <c r="M32" i="1"/>
  <c r="M36" i="1"/>
  <c r="M44" i="1"/>
  <c r="M50" i="1"/>
  <c r="M55" i="1"/>
  <c r="M60" i="1"/>
  <c r="M64" i="1"/>
  <c r="M68" i="1"/>
  <c r="M73" i="1"/>
  <c r="M77" i="1"/>
  <c r="M84" i="1"/>
  <c r="M92" i="1"/>
  <c r="M96" i="1"/>
  <c r="M102" i="1"/>
  <c r="M108" i="1"/>
  <c r="M114" i="1"/>
  <c r="M118" i="1"/>
  <c r="M124" i="1"/>
  <c r="M128" i="1"/>
  <c r="M134" i="1"/>
  <c r="M140" i="1"/>
  <c r="M146" i="1"/>
  <c r="M152" i="1"/>
  <c r="N137" i="23"/>
  <c r="N115" i="24"/>
  <c r="P115" i="24" s="1"/>
  <c r="S115" i="24" s="1"/>
  <c r="N149" i="24"/>
  <c r="P149" i="24" s="1"/>
  <c r="S149" i="24" s="1"/>
  <c r="K158" i="22"/>
  <c r="N102" i="24"/>
  <c r="P102" i="24" s="1"/>
  <c r="S102" i="24" s="1"/>
  <c r="N133" i="24"/>
  <c r="P133" i="24" s="1"/>
  <c r="S133" i="24" s="1"/>
  <c r="L112" i="23"/>
  <c r="N38" i="24"/>
  <c r="P38" i="24" s="1"/>
  <c r="S38" i="24" s="1"/>
  <c r="L119" i="23"/>
  <c r="N109" i="24"/>
  <c r="P109" i="24" s="1"/>
  <c r="S109" i="24" s="1"/>
  <c r="N136" i="24"/>
  <c r="P136" i="24" s="1"/>
  <c r="S136" i="24" s="1"/>
  <c r="N147" i="24"/>
  <c r="P147" i="24" s="1"/>
  <c r="S147" i="24" s="1"/>
  <c r="N128" i="24"/>
  <c r="P128" i="24" s="1"/>
  <c r="S128" i="24" s="1"/>
  <c r="M158" i="22"/>
  <c r="N29" i="24"/>
  <c r="P29" i="24" s="1"/>
  <c r="S29" i="24" s="1"/>
  <c r="N83" i="24"/>
  <c r="P83" i="24" s="1"/>
  <c r="S83" i="24" s="1"/>
  <c r="N150" i="23"/>
  <c r="N21" i="24"/>
  <c r="P21" i="24" s="1"/>
  <c r="S21" i="24" s="1"/>
  <c r="N80" i="23"/>
  <c r="L97" i="23"/>
  <c r="N97" i="23"/>
  <c r="N126" i="24"/>
  <c r="P126" i="24" s="1"/>
  <c r="S126" i="24" s="1"/>
  <c r="N95" i="24"/>
  <c r="P95" i="24" s="1"/>
  <c r="S95" i="24" s="1"/>
  <c r="N106" i="23"/>
  <c r="N110" i="24"/>
  <c r="P110" i="24" s="1"/>
  <c r="S110" i="24" s="1"/>
  <c r="N143" i="23"/>
  <c r="L80" i="23"/>
  <c r="L106" i="23"/>
  <c r="L150" i="23"/>
  <c r="N46" i="24"/>
  <c r="P46" i="24" s="1"/>
  <c r="S46" i="24" s="1"/>
  <c r="N119" i="23"/>
  <c r="L39" i="23"/>
  <c r="N44" i="24"/>
  <c r="P44" i="24" s="1"/>
  <c r="S44" i="24" s="1"/>
  <c r="N105" i="24"/>
  <c r="P105" i="24" s="1"/>
  <c r="S105" i="24" s="1"/>
  <c r="L137" i="23"/>
  <c r="I158" i="22"/>
  <c r="G158" i="22"/>
  <c r="P155" i="22"/>
  <c r="S155" i="22" s="1"/>
  <c r="Q156" i="22"/>
  <c r="O156" i="22"/>
  <c r="P137" i="23"/>
  <c r="S137" i="23" s="1"/>
  <c r="P112" i="22"/>
  <c r="S112" i="22" s="1"/>
  <c r="J155" i="24"/>
  <c r="L152" i="24"/>
  <c r="L155" i="24" s="1"/>
  <c r="J150" i="24"/>
  <c r="L145" i="24"/>
  <c r="L150" i="24" s="1"/>
  <c r="L139" i="24"/>
  <c r="L143" i="24" s="1"/>
  <c r="J143" i="24"/>
  <c r="P137" i="22"/>
  <c r="S137" i="22" s="1"/>
  <c r="L132" i="24"/>
  <c r="L137" i="24" s="1"/>
  <c r="J137" i="24"/>
  <c r="L121" i="24"/>
  <c r="P119" i="22"/>
  <c r="S119" i="22" s="1"/>
  <c r="L114" i="24"/>
  <c r="L119" i="24" s="1"/>
  <c r="J119" i="24"/>
  <c r="L108" i="24"/>
  <c r="L112" i="24" s="1"/>
  <c r="J112" i="24"/>
  <c r="J106" i="24"/>
  <c r="L99" i="24"/>
  <c r="L106" i="24" s="1"/>
  <c r="L89" i="24"/>
  <c r="L97" i="24" s="1"/>
  <c r="J97" i="24"/>
  <c r="P97" i="22"/>
  <c r="S97" i="22" s="1"/>
  <c r="L80" i="24"/>
  <c r="J80" i="24"/>
  <c r="J39" i="24"/>
  <c r="L39" i="24"/>
  <c r="P155" i="23"/>
  <c r="S155" i="23" s="1"/>
  <c r="N152" i="24"/>
  <c r="H155" i="24"/>
  <c r="F155" i="24"/>
  <c r="P150" i="23"/>
  <c r="S150" i="23" s="1"/>
  <c r="P150" i="22"/>
  <c r="S150" i="22" s="1"/>
  <c r="F150" i="24"/>
  <c r="N145" i="24"/>
  <c r="H150" i="24"/>
  <c r="P143" i="23"/>
  <c r="S143" i="23" s="1"/>
  <c r="N139" i="24"/>
  <c r="F143" i="24"/>
  <c r="H143" i="24"/>
  <c r="N132" i="24"/>
  <c r="F137" i="24"/>
  <c r="H137" i="24"/>
  <c r="N121" i="24"/>
  <c r="P119" i="23"/>
  <c r="S119" i="23" s="1"/>
  <c r="F119" i="24"/>
  <c r="N114" i="24"/>
  <c r="H119" i="24"/>
  <c r="P112" i="23"/>
  <c r="S112" i="23" s="1"/>
  <c r="F112" i="24"/>
  <c r="H112" i="24"/>
  <c r="N108" i="24"/>
  <c r="P106" i="23"/>
  <c r="S106" i="23" s="1"/>
  <c r="P106" i="22"/>
  <c r="S106" i="22" s="1"/>
  <c r="N99" i="24"/>
  <c r="F106" i="24"/>
  <c r="H106" i="24"/>
  <c r="F97" i="24"/>
  <c r="H97" i="24"/>
  <c r="N89" i="24"/>
  <c r="P97" i="23"/>
  <c r="S97" i="23" s="1"/>
  <c r="P80" i="22"/>
  <c r="S80" i="22" s="1"/>
  <c r="P80" i="23"/>
  <c r="S80" i="23" s="1"/>
  <c r="N43" i="24"/>
  <c r="F80" i="24"/>
  <c r="H80" i="24"/>
  <c r="N26" i="24"/>
  <c r="P143" i="22"/>
  <c r="S143" i="22" s="1"/>
  <c r="N155" i="24" l="1"/>
  <c r="P152" i="24"/>
  <c r="S152" i="24" s="1"/>
  <c r="N150" i="24"/>
  <c r="P145" i="24"/>
  <c r="S145" i="24" s="1"/>
  <c r="N143" i="24"/>
  <c r="P139" i="24"/>
  <c r="S139" i="24" s="1"/>
  <c r="N137" i="24"/>
  <c r="P132" i="24"/>
  <c r="S132" i="24" s="1"/>
  <c r="P121" i="24"/>
  <c r="S121" i="24" s="1"/>
  <c r="N119" i="24"/>
  <c r="P114" i="24"/>
  <c r="S114" i="24" s="1"/>
  <c r="N112" i="24"/>
  <c r="P108" i="24"/>
  <c r="S108" i="24" s="1"/>
  <c r="N106" i="24"/>
  <c r="P99" i="24"/>
  <c r="S99" i="24" s="1"/>
  <c r="N97" i="24"/>
  <c r="P89" i="24"/>
  <c r="S89" i="24" s="1"/>
  <c r="P43" i="24"/>
  <c r="S43" i="24" s="1"/>
  <c r="N80" i="24"/>
  <c r="P26" i="24"/>
  <c r="S26" i="24" s="1"/>
  <c r="Q21" i="22"/>
  <c r="Q20" i="22"/>
  <c r="Q19" i="22"/>
  <c r="Q18" i="22"/>
  <c r="Q17" i="22"/>
  <c r="Q16" i="22"/>
  <c r="Q15" i="22"/>
  <c r="Q14" i="22"/>
  <c r="O21" i="22"/>
  <c r="O20" i="22"/>
  <c r="O19" i="22"/>
  <c r="O18" i="22"/>
  <c r="O17" i="22"/>
  <c r="O16" i="22"/>
  <c r="O15" i="22"/>
  <c r="O14" i="22"/>
  <c r="N21" i="22"/>
  <c r="P21" i="22" s="1"/>
  <c r="N20" i="22"/>
  <c r="P20" i="22" s="1"/>
  <c r="N19" i="22"/>
  <c r="P19" i="22" s="1"/>
  <c r="N18" i="22"/>
  <c r="P18" i="22" s="1"/>
  <c r="N17" i="22"/>
  <c r="P17" i="22" s="1"/>
  <c r="N16" i="22"/>
  <c r="P16" i="22" s="1"/>
  <c r="N15" i="22"/>
  <c r="P15" i="22" s="1"/>
  <c r="N14" i="22"/>
  <c r="P14" i="22" s="1"/>
  <c r="Q13" i="22"/>
  <c r="O13" i="22"/>
  <c r="J13" i="22"/>
  <c r="J22" i="22" s="1"/>
  <c r="J85" i="22" s="1"/>
  <c r="F13" i="22"/>
  <c r="H13" i="22" s="1"/>
  <c r="F155" i="22"/>
  <c r="F150" i="22"/>
  <c r="F143" i="22"/>
  <c r="F137" i="22"/>
  <c r="F119" i="22"/>
  <c r="F112" i="22"/>
  <c r="F106" i="22"/>
  <c r="F97" i="22"/>
  <c r="F80" i="22"/>
  <c r="S21" i="22" l="1"/>
  <c r="S16" i="22"/>
  <c r="S17" i="22"/>
  <c r="S15" i="22"/>
  <c r="S18" i="22"/>
  <c r="S14" i="22"/>
  <c r="S19" i="22"/>
  <c r="S20" i="22"/>
  <c r="O22" i="22"/>
  <c r="O85" i="22" s="1"/>
  <c r="O158" i="22" s="1"/>
  <c r="P155" i="24"/>
  <c r="S155" i="24" s="1"/>
  <c r="P150" i="24"/>
  <c r="S150" i="24" s="1"/>
  <c r="P143" i="24"/>
  <c r="S143" i="24" s="1"/>
  <c r="P137" i="24"/>
  <c r="S137" i="24" s="1"/>
  <c r="P119" i="24"/>
  <c r="S119" i="24" s="1"/>
  <c r="P112" i="24"/>
  <c r="S112" i="24" s="1"/>
  <c r="P106" i="24"/>
  <c r="S106" i="24" s="1"/>
  <c r="P97" i="24"/>
  <c r="S97" i="24" s="1"/>
  <c r="P80" i="24"/>
  <c r="S80" i="24" s="1"/>
  <c r="Q22" i="22"/>
  <c r="H22" i="22"/>
  <c r="F13" i="23"/>
  <c r="F22" i="22"/>
  <c r="L13" i="22"/>
  <c r="N13" i="22"/>
  <c r="N22" i="22" s="1"/>
  <c r="Q85" i="22" l="1"/>
  <c r="L22" i="22"/>
  <c r="L85" i="22" s="1"/>
  <c r="J13" i="23"/>
  <c r="N13" i="23" s="1"/>
  <c r="F22" i="23"/>
  <c r="H13" i="23"/>
  <c r="P13" i="22"/>
  <c r="S13" i="22" s="1"/>
  <c r="Q158" i="22" l="1"/>
  <c r="J22" i="23"/>
  <c r="J85" i="23" s="1"/>
  <c r="L13" i="23"/>
  <c r="P13" i="23"/>
  <c r="S13" i="23" s="1"/>
  <c r="N22" i="23"/>
  <c r="H22" i="23"/>
  <c r="F13" i="24"/>
  <c r="P22" i="22"/>
  <c r="S22" i="22" s="1"/>
  <c r="F22" i="24" l="1"/>
  <c r="H13" i="24"/>
  <c r="H22" i="24" s="1"/>
  <c r="L22" i="23"/>
  <c r="L85" i="23" s="1"/>
  <c r="J13" i="24"/>
  <c r="N13" i="24" s="1"/>
  <c r="P22" i="23"/>
  <c r="S22" i="23" s="1"/>
  <c r="N22" i="24" l="1"/>
  <c r="P13" i="24"/>
  <c r="S13" i="24" s="1"/>
  <c r="L13" i="24"/>
  <c r="L22" i="24" s="1"/>
  <c r="L85" i="24" s="1"/>
  <c r="J22" i="24"/>
  <c r="J85" i="24" s="1"/>
  <c r="P22" i="24" l="1"/>
  <c r="S22" i="24" s="1"/>
  <c r="I155" i="1" l="1"/>
  <c r="H155" i="1"/>
  <c r="G155" i="1"/>
  <c r="J159" i="1"/>
  <c r="I97" i="1"/>
  <c r="H97" i="1"/>
  <c r="G97" i="1"/>
  <c r="F97" i="1"/>
  <c r="H137" i="1"/>
  <c r="G137" i="1"/>
  <c r="F137" i="1"/>
  <c r="H150" i="1"/>
  <c r="J150" i="1" s="1"/>
  <c r="G150" i="1"/>
  <c r="J13" i="1"/>
  <c r="F22" i="1"/>
  <c r="G22" i="1"/>
  <c r="G106" i="1"/>
  <c r="G112" i="1"/>
  <c r="I39" i="1"/>
  <c r="F39" i="1"/>
  <c r="F106" i="1"/>
  <c r="F112" i="1"/>
  <c r="H39" i="1"/>
  <c r="I106" i="1"/>
  <c r="G143" i="1"/>
  <c r="G119" i="1"/>
  <c r="I22" i="1"/>
  <c r="I80" i="1"/>
  <c r="G80" i="1"/>
  <c r="K13" i="1"/>
  <c r="F130" i="1"/>
  <c r="F119" i="1"/>
  <c r="H143" i="1"/>
  <c r="J143" i="1" s="1"/>
  <c r="H130" i="1"/>
  <c r="H119" i="1"/>
  <c r="H112" i="1"/>
  <c r="H106" i="1"/>
  <c r="H22" i="1"/>
  <c r="H80" i="1"/>
  <c r="F80" i="1"/>
  <c r="M13" i="1" l="1"/>
  <c r="J112" i="1"/>
  <c r="K97" i="1"/>
  <c r="J22" i="1"/>
  <c r="K112" i="1"/>
  <c r="F156" i="1"/>
  <c r="AB38" i="32" s="1"/>
  <c r="AB39" i="32" s="1"/>
  <c r="J130" i="1"/>
  <c r="J39" i="1"/>
  <c r="J137" i="1"/>
  <c r="H156" i="1"/>
  <c r="AF38" i="32" s="1"/>
  <c r="J106" i="1"/>
  <c r="K106" i="1"/>
  <c r="K119" i="1"/>
  <c r="J80" i="1"/>
  <c r="J119" i="1"/>
  <c r="K80" i="1"/>
  <c r="K150" i="1"/>
  <c r="M150" i="1" s="1"/>
  <c r="K137" i="1"/>
  <c r="J155" i="1"/>
  <c r="K22" i="1"/>
  <c r="K143" i="1"/>
  <c r="M143" i="1" s="1"/>
  <c r="K155" i="1"/>
  <c r="J97" i="1"/>
  <c r="F85" i="1"/>
  <c r="AB40" i="32" s="1"/>
  <c r="AB41" i="32" s="1"/>
  <c r="H85" i="1"/>
  <c r="AF40" i="32" s="1"/>
  <c r="I85" i="1"/>
  <c r="AG40" i="32" s="1"/>
  <c r="M155" i="1" l="1"/>
  <c r="M97" i="1"/>
  <c r="M119" i="1"/>
  <c r="J156" i="1"/>
  <c r="Z151" i="31" s="1"/>
  <c r="M22" i="1"/>
  <c r="M112" i="1"/>
  <c r="M106" i="1"/>
  <c r="M137" i="1"/>
  <c r="M80" i="1"/>
  <c r="J85" i="1"/>
  <c r="AA25" i="31" s="1"/>
  <c r="AB25" i="31" s="1"/>
  <c r="H158" i="1"/>
  <c r="H160" i="1" s="1"/>
  <c r="F158" i="1"/>
  <c r="F160" i="1" s="1"/>
  <c r="G159" i="1" s="1"/>
  <c r="F159" i="22" l="1"/>
  <c r="H159" i="22" s="1"/>
  <c r="F159" i="23" s="1"/>
  <c r="H159" i="23" s="1"/>
  <c r="F159" i="24" s="1"/>
  <c r="H159" i="24" s="1"/>
  <c r="J159" i="22"/>
  <c r="L159" i="22" s="1"/>
  <c r="J159" i="23" s="1"/>
  <c r="L159" i="23" s="1"/>
  <c r="J160" i="1"/>
  <c r="K159" i="1" s="1"/>
  <c r="J158" i="1"/>
  <c r="M160" i="22" l="1"/>
  <c r="K160" i="22"/>
  <c r="M160" i="23"/>
  <c r="K160" i="23"/>
  <c r="N159" i="23"/>
  <c r="I160" i="23"/>
  <c r="G160" i="23"/>
  <c r="G160" i="22"/>
  <c r="I160" i="22"/>
  <c r="N159" i="22"/>
  <c r="G160" i="24"/>
  <c r="I160" i="24"/>
  <c r="J159" i="24" l="1"/>
  <c r="L159" i="24" s="1"/>
  <c r="Q160" i="22"/>
  <c r="P159" i="22"/>
  <c r="O160" i="22"/>
  <c r="Q160" i="23"/>
  <c r="P159" i="23"/>
  <c r="O160" i="23"/>
  <c r="K160" i="24" l="1"/>
  <c r="N159" i="24"/>
  <c r="M160" i="24"/>
  <c r="P159" i="24" l="1"/>
  <c r="O160" i="24"/>
  <c r="Q160" i="24"/>
  <c r="G34" i="1" l="1"/>
  <c r="F34" i="22" l="1"/>
  <c r="K34" i="1"/>
  <c r="G39" i="1"/>
  <c r="H34" i="22" l="1"/>
  <c r="N34" i="22"/>
  <c r="F39" i="22"/>
  <c r="F85" i="22" s="1"/>
  <c r="K39" i="1"/>
  <c r="G85" i="1"/>
  <c r="AC40" i="32" s="1"/>
  <c r="AC41" i="32" s="1"/>
  <c r="M34" i="1"/>
  <c r="M39" i="1" l="1"/>
  <c r="P34" i="22"/>
  <c r="N39" i="22"/>
  <c r="N85" i="22" s="1"/>
  <c r="K85" i="1"/>
  <c r="F34" i="23"/>
  <c r="H39" i="22"/>
  <c r="H85" i="22" s="1"/>
  <c r="H34" i="23" l="1"/>
  <c r="F39" i="23"/>
  <c r="F85" i="23" s="1"/>
  <c r="N34" i="23"/>
  <c r="L43" i="1"/>
  <c r="L70" i="1"/>
  <c r="L76" i="1"/>
  <c r="L60" i="1"/>
  <c r="L84" i="1"/>
  <c r="L69" i="1"/>
  <c r="L37" i="1"/>
  <c r="L18" i="1"/>
  <c r="L35" i="1"/>
  <c r="L44" i="1"/>
  <c r="L15" i="1"/>
  <c r="L22" i="1"/>
  <c r="L29" i="1"/>
  <c r="M85" i="1"/>
  <c r="L83" i="1"/>
  <c r="L67" i="1"/>
  <c r="L77" i="1"/>
  <c r="L26" i="1"/>
  <c r="L59" i="1"/>
  <c r="L47" i="1"/>
  <c r="L55" i="1"/>
  <c r="L80" i="1"/>
  <c r="L75" i="1"/>
  <c r="L30" i="1"/>
  <c r="L33" i="1"/>
  <c r="L31" i="1"/>
  <c r="L36" i="1"/>
  <c r="L62" i="1"/>
  <c r="L72" i="1"/>
  <c r="L54" i="1"/>
  <c r="L66" i="1"/>
  <c r="L73" i="1"/>
  <c r="L46" i="1"/>
  <c r="L21" i="1"/>
  <c r="L16" i="1"/>
  <c r="L17" i="1"/>
  <c r="L13" i="1"/>
  <c r="L50" i="1"/>
  <c r="L38" i="1"/>
  <c r="L32" i="1"/>
  <c r="L61" i="1"/>
  <c r="L65" i="1"/>
  <c r="L85" i="1"/>
  <c r="L51" i="1"/>
  <c r="L19" i="1"/>
  <c r="L68" i="1"/>
  <c r="L74" i="1"/>
  <c r="L79" i="1"/>
  <c r="L58" i="1"/>
  <c r="L56" i="1"/>
  <c r="L14" i="1"/>
  <c r="L20" i="1"/>
  <c r="L64" i="1"/>
  <c r="L27" i="1"/>
  <c r="L48" i="1"/>
  <c r="L78" i="1"/>
  <c r="L63" i="1"/>
  <c r="L53" i="1"/>
  <c r="L34" i="1"/>
  <c r="S34" i="22"/>
  <c r="P39" i="22"/>
  <c r="L39" i="1"/>
  <c r="F34" i="24" l="1"/>
  <c r="H39" i="23"/>
  <c r="H85" i="23" s="1"/>
  <c r="S39" i="22"/>
  <c r="P85" i="22"/>
  <c r="R39" i="22" s="1"/>
  <c r="P34" i="23"/>
  <c r="N39" i="23"/>
  <c r="N85" i="23" s="1"/>
  <c r="R80" i="22" l="1"/>
  <c r="R72" i="22"/>
  <c r="R75" i="22"/>
  <c r="R35" i="22"/>
  <c r="R73" i="22"/>
  <c r="R64" i="22"/>
  <c r="R51" i="22"/>
  <c r="R47" i="22"/>
  <c r="R70" i="22"/>
  <c r="R58" i="22"/>
  <c r="R38" i="22"/>
  <c r="R69" i="22"/>
  <c r="R19" i="22"/>
  <c r="R20" i="22"/>
  <c r="R37" i="22"/>
  <c r="R78" i="22"/>
  <c r="R27" i="22"/>
  <c r="R31" i="22"/>
  <c r="R71" i="22"/>
  <c r="R68" i="22"/>
  <c r="R17" i="22"/>
  <c r="R50" i="22"/>
  <c r="R59" i="22"/>
  <c r="R76" i="22"/>
  <c r="R43" i="22"/>
  <c r="R22" i="22"/>
  <c r="R15" i="22"/>
  <c r="R16" i="22"/>
  <c r="R67" i="22"/>
  <c r="R36" i="22"/>
  <c r="R48" i="22"/>
  <c r="R65" i="22"/>
  <c r="R63" i="22"/>
  <c r="R18" i="22"/>
  <c r="R79" i="22"/>
  <c r="R44" i="22"/>
  <c r="R55" i="22"/>
  <c r="R56" i="22"/>
  <c r="R46" i="22"/>
  <c r="R83" i="22"/>
  <c r="S85" i="22"/>
  <c r="R26" i="22"/>
  <c r="R74" i="22"/>
  <c r="R13" i="22"/>
  <c r="R84" i="22"/>
  <c r="R32" i="22"/>
  <c r="R33" i="22"/>
  <c r="R60" i="22"/>
  <c r="R29" i="22"/>
  <c r="R85" i="22"/>
  <c r="R30" i="22"/>
  <c r="R62" i="22"/>
  <c r="R14" i="22"/>
  <c r="R61" i="22"/>
  <c r="R77" i="22"/>
  <c r="R21" i="22"/>
  <c r="R54" i="22"/>
  <c r="R53" i="22"/>
  <c r="R34" i="22"/>
  <c r="S34" i="23"/>
  <c r="P39" i="23"/>
  <c r="H34" i="24"/>
  <c r="H39" i="24" s="1"/>
  <c r="H85" i="24" s="1"/>
  <c r="N34" i="24"/>
  <c r="F39" i="24"/>
  <c r="F85" i="24" s="1"/>
  <c r="S39" i="23" l="1"/>
  <c r="P85" i="23"/>
  <c r="R39" i="23" s="1"/>
  <c r="P34" i="24"/>
  <c r="N39" i="24"/>
  <c r="N85" i="24" s="1"/>
  <c r="S85" i="23" l="1"/>
  <c r="R48" i="23"/>
  <c r="R56" i="23"/>
  <c r="R77" i="23"/>
  <c r="R51" i="23"/>
  <c r="R50" i="23"/>
  <c r="R16" i="23"/>
  <c r="R62" i="23"/>
  <c r="R74" i="23"/>
  <c r="R68" i="23"/>
  <c r="R79" i="23"/>
  <c r="R44" i="23"/>
  <c r="R76" i="23"/>
  <c r="R67" i="23"/>
  <c r="R21" i="23"/>
  <c r="R20" i="23"/>
  <c r="R84" i="23"/>
  <c r="R32" i="23"/>
  <c r="R43" i="23"/>
  <c r="R29" i="23"/>
  <c r="R65" i="23"/>
  <c r="R31" i="23"/>
  <c r="R47" i="23"/>
  <c r="R85" i="23"/>
  <c r="R53" i="23"/>
  <c r="R60" i="23"/>
  <c r="R63" i="23"/>
  <c r="R72" i="23"/>
  <c r="R78" i="23"/>
  <c r="R35" i="23"/>
  <c r="R22" i="23"/>
  <c r="R46" i="23"/>
  <c r="R37" i="23"/>
  <c r="R58" i="23"/>
  <c r="R73" i="23"/>
  <c r="R30" i="23"/>
  <c r="R59" i="23"/>
  <c r="R18" i="23"/>
  <c r="R80" i="23"/>
  <c r="R70" i="23"/>
  <c r="R27" i="23"/>
  <c r="R38" i="23"/>
  <c r="R61" i="23"/>
  <c r="R69" i="23"/>
  <c r="R83" i="23"/>
  <c r="R71" i="23"/>
  <c r="R13" i="23"/>
  <c r="R55" i="23"/>
  <c r="R75" i="23"/>
  <c r="R54" i="23"/>
  <c r="R26" i="23"/>
  <c r="R15" i="23"/>
  <c r="R19" i="23"/>
  <c r="R36" i="23"/>
  <c r="R17" i="23"/>
  <c r="R64" i="23"/>
  <c r="R14" i="23"/>
  <c r="R33" i="23"/>
  <c r="R34" i="23"/>
  <c r="S34" i="24"/>
  <c r="P39" i="24"/>
  <c r="S39" i="24" l="1"/>
  <c r="P85" i="24"/>
  <c r="R22" i="24" l="1"/>
  <c r="R72" i="24"/>
  <c r="R77" i="24"/>
  <c r="R69" i="24"/>
  <c r="R80" i="24"/>
  <c r="R75" i="24"/>
  <c r="R46" i="24"/>
  <c r="R73" i="24"/>
  <c r="R33" i="24"/>
  <c r="R83" i="24"/>
  <c r="R56" i="24"/>
  <c r="R35" i="24"/>
  <c r="R16" i="24"/>
  <c r="S85" i="24"/>
  <c r="R14" i="24"/>
  <c r="R67" i="24"/>
  <c r="R27" i="24"/>
  <c r="R61" i="24"/>
  <c r="R74" i="24"/>
  <c r="R84" i="24"/>
  <c r="R30" i="24"/>
  <c r="R18" i="24"/>
  <c r="R54" i="24"/>
  <c r="R76" i="24"/>
  <c r="R79" i="24"/>
  <c r="R37" i="24"/>
  <c r="R51" i="24"/>
  <c r="R15" i="24"/>
  <c r="R58" i="24"/>
  <c r="R71" i="24"/>
  <c r="R29" i="24"/>
  <c r="R19" i="24"/>
  <c r="R17" i="24"/>
  <c r="R48" i="24"/>
  <c r="R50" i="24"/>
  <c r="R26" i="24"/>
  <c r="R65" i="24"/>
  <c r="R60" i="24"/>
  <c r="R59" i="24"/>
  <c r="R68" i="24"/>
  <c r="R78" i="24"/>
  <c r="R53" i="24"/>
  <c r="R13" i="24"/>
  <c r="R70" i="24"/>
  <c r="R44" i="24"/>
  <c r="R32" i="24"/>
  <c r="R43" i="24"/>
  <c r="R20" i="24"/>
  <c r="R62" i="24"/>
  <c r="R36" i="24"/>
  <c r="R31" i="24"/>
  <c r="R85" i="24"/>
  <c r="R64" i="24"/>
  <c r="R21" i="24"/>
  <c r="R63" i="24"/>
  <c r="R38" i="24"/>
  <c r="R47" i="24"/>
  <c r="R55" i="24"/>
  <c r="R34" i="24"/>
  <c r="R39" i="24"/>
  <c r="G127" i="1"/>
  <c r="F127" i="22" s="1"/>
  <c r="J127" i="22" l="1"/>
  <c r="J130" i="22" s="1"/>
  <c r="J156" i="22" s="1"/>
  <c r="J158" i="22" s="1"/>
  <c r="J160" i="22" s="1"/>
  <c r="I156" i="1"/>
  <c r="AG38" i="32" s="1"/>
  <c r="H127" i="22"/>
  <c r="F130" i="22"/>
  <c r="F156" i="22" s="1"/>
  <c r="F158" i="22" s="1"/>
  <c r="F160" i="22" s="1"/>
  <c r="K127" i="1"/>
  <c r="G130" i="1"/>
  <c r="G156" i="1" s="1"/>
  <c r="G158" i="1" l="1"/>
  <c r="G160" i="1" s="1"/>
  <c r="AC38" i="32"/>
  <c r="AC39" i="32" s="1"/>
  <c r="L127" i="22"/>
  <c r="J127" i="23" s="1"/>
  <c r="N127" i="22"/>
  <c r="N130" i="22" s="1"/>
  <c r="N156" i="22" s="1"/>
  <c r="N158" i="22" s="1"/>
  <c r="N160" i="22" s="1"/>
  <c r="M127" i="1"/>
  <c r="H130" i="22"/>
  <c r="H156" i="22" s="1"/>
  <c r="H158" i="22" s="1"/>
  <c r="H160" i="22" s="1"/>
  <c r="T159" i="22" s="1"/>
  <c r="F127" i="23"/>
  <c r="I158" i="1"/>
  <c r="I160" i="1" s="1"/>
  <c r="K156" i="1"/>
  <c r="K130" i="1"/>
  <c r="L130" i="22" l="1"/>
  <c r="L156" i="22" s="1"/>
  <c r="L158" i="22" s="1"/>
  <c r="L160" i="22" s="1"/>
  <c r="L127" i="1"/>
  <c r="P127" i="22"/>
  <c r="P130" i="22" s="1"/>
  <c r="N127" i="23"/>
  <c r="F130" i="23"/>
  <c r="F156" i="23" s="1"/>
  <c r="F158" i="23" s="1"/>
  <c r="F160" i="23" s="1"/>
  <c r="H127" i="23"/>
  <c r="L130" i="1"/>
  <c r="M130" i="1"/>
  <c r="L126" i="1"/>
  <c r="L145" i="1"/>
  <c r="L147" i="1"/>
  <c r="L99" i="1"/>
  <c r="L103" i="1"/>
  <c r="L93" i="1"/>
  <c r="L139" i="1"/>
  <c r="L106" i="1"/>
  <c r="L142" i="1"/>
  <c r="L111" i="1"/>
  <c r="L156" i="1"/>
  <c r="L150" i="1"/>
  <c r="L140" i="1"/>
  <c r="L95" i="1"/>
  <c r="L100" i="1"/>
  <c r="L116" i="1"/>
  <c r="L102" i="1"/>
  <c r="L117" i="1"/>
  <c r="L122" i="1"/>
  <c r="L135" i="1"/>
  <c r="L128" i="1"/>
  <c r="L91" i="1"/>
  <c r="L137" i="1"/>
  <c r="L148" i="1"/>
  <c r="L155" i="1"/>
  <c r="L133" i="1"/>
  <c r="M156" i="1"/>
  <c r="L154" i="1"/>
  <c r="L92" i="1"/>
  <c r="L136" i="1"/>
  <c r="L104" i="1"/>
  <c r="L101" i="1"/>
  <c r="L124" i="1"/>
  <c r="L94" i="1"/>
  <c r="L143" i="1"/>
  <c r="L146" i="1"/>
  <c r="L141" i="1"/>
  <c r="L97" i="1"/>
  <c r="L105" i="1"/>
  <c r="L89" i="1"/>
  <c r="L123" i="1"/>
  <c r="L110" i="1"/>
  <c r="L149" i="1"/>
  <c r="L134" i="1"/>
  <c r="L119" i="1"/>
  <c r="L118" i="1"/>
  <c r="L109" i="1"/>
  <c r="L152" i="1"/>
  <c r="L112" i="1"/>
  <c r="L108" i="1"/>
  <c r="L125" i="1"/>
  <c r="L129" i="1"/>
  <c r="L132" i="1"/>
  <c r="L121" i="1"/>
  <c r="L90" i="1"/>
  <c r="L114" i="1"/>
  <c r="L96" i="1"/>
  <c r="L153" i="1"/>
  <c r="L115" i="1"/>
  <c r="L127" i="23"/>
  <c r="J130" i="23"/>
  <c r="J156" i="23" s="1"/>
  <c r="J158" i="23" s="1"/>
  <c r="J160" i="23" s="1"/>
  <c r="K158" i="1"/>
  <c r="N159" i="1"/>
  <c r="K160" i="1"/>
  <c r="S127" i="22" l="1"/>
  <c r="F127" i="24"/>
  <c r="H130" i="23"/>
  <c r="H156" i="23" s="1"/>
  <c r="H158" i="23" s="1"/>
  <c r="H160" i="23" s="1"/>
  <c r="T159" i="23" s="1"/>
  <c r="L130" i="23"/>
  <c r="L156" i="23" s="1"/>
  <c r="L158" i="23" s="1"/>
  <c r="L160" i="23" s="1"/>
  <c r="J127" i="24"/>
  <c r="S130" i="22"/>
  <c r="P156" i="22"/>
  <c r="R130" i="22" s="1"/>
  <c r="P127" i="23"/>
  <c r="N130" i="23"/>
  <c r="N156" i="23" s="1"/>
  <c r="N158" i="23" s="1"/>
  <c r="N160" i="23" s="1"/>
  <c r="S127" i="23" l="1"/>
  <c r="P130" i="23"/>
  <c r="J130" i="24"/>
  <c r="J156" i="24" s="1"/>
  <c r="J158" i="24" s="1"/>
  <c r="J160" i="24" s="1"/>
  <c r="L127" i="24"/>
  <c r="L130" i="24" s="1"/>
  <c r="L156" i="24" s="1"/>
  <c r="L158" i="24" s="1"/>
  <c r="L160" i="24" s="1"/>
  <c r="R140" i="22"/>
  <c r="R111" i="22"/>
  <c r="R96" i="22"/>
  <c r="R91" i="22"/>
  <c r="R125" i="22"/>
  <c r="R156" i="22"/>
  <c r="R152" i="22"/>
  <c r="R92" i="22"/>
  <c r="R137" i="22"/>
  <c r="R110" i="22"/>
  <c r="R128" i="22"/>
  <c r="R143" i="22"/>
  <c r="R103" i="22"/>
  <c r="R93" i="22"/>
  <c r="R153" i="22"/>
  <c r="R147" i="22"/>
  <c r="R106" i="22"/>
  <c r="P158" i="22"/>
  <c r="P160" i="22" s="1"/>
  <c r="R132" i="22"/>
  <c r="R141" i="22"/>
  <c r="R99" i="22"/>
  <c r="R102" i="22"/>
  <c r="R118" i="22"/>
  <c r="R136" i="22"/>
  <c r="R123" i="22"/>
  <c r="R154" i="22"/>
  <c r="R100" i="22"/>
  <c r="R124" i="22"/>
  <c r="S156" i="22"/>
  <c r="R148" i="22"/>
  <c r="R139" i="22"/>
  <c r="R95" i="22"/>
  <c r="R112" i="22"/>
  <c r="R89" i="22"/>
  <c r="R108" i="22"/>
  <c r="R149" i="22"/>
  <c r="R109" i="22"/>
  <c r="R146" i="22"/>
  <c r="R90" i="22"/>
  <c r="R105" i="22"/>
  <c r="R142" i="22"/>
  <c r="R117" i="22"/>
  <c r="R119" i="22"/>
  <c r="R134" i="22"/>
  <c r="R104" i="22"/>
  <c r="R121" i="22"/>
  <c r="R94" i="22"/>
  <c r="R155" i="22"/>
  <c r="R135" i="22"/>
  <c r="R114" i="22"/>
  <c r="R101" i="22"/>
  <c r="R145" i="22"/>
  <c r="R133" i="22"/>
  <c r="R97" i="22"/>
  <c r="R150" i="22"/>
  <c r="R122" i="22"/>
  <c r="R126" i="22"/>
  <c r="R129" i="22"/>
  <c r="R115" i="22"/>
  <c r="R116" i="22"/>
  <c r="R127" i="22"/>
  <c r="H127" i="24"/>
  <c r="H130" i="24" s="1"/>
  <c r="H156" i="24" s="1"/>
  <c r="H158" i="24" s="1"/>
  <c r="H160" i="24" s="1"/>
  <c r="T159" i="24" s="1"/>
  <c r="F130" i="24"/>
  <c r="F156" i="24" s="1"/>
  <c r="F158" i="24" s="1"/>
  <c r="F160" i="24" s="1"/>
  <c r="N127" i="24"/>
  <c r="N130" i="24" l="1"/>
  <c r="N156" i="24" s="1"/>
  <c r="N158" i="24" s="1"/>
  <c r="N160" i="24" s="1"/>
  <c r="P127" i="24"/>
  <c r="P156" i="23"/>
  <c r="R130" i="23" s="1"/>
  <c r="S130" i="23"/>
  <c r="S127" i="24" l="1"/>
  <c r="P130" i="24"/>
  <c r="R94" i="23"/>
  <c r="R132" i="23"/>
  <c r="R115" i="23"/>
  <c r="R114" i="23"/>
  <c r="R140" i="23"/>
  <c r="R136" i="23"/>
  <c r="R147" i="23"/>
  <c r="R99" i="23"/>
  <c r="R141" i="23"/>
  <c r="R152" i="23"/>
  <c r="R123" i="23"/>
  <c r="R133" i="23"/>
  <c r="R117" i="23"/>
  <c r="R103" i="23"/>
  <c r="R135" i="23"/>
  <c r="R148" i="23"/>
  <c r="R91" i="23"/>
  <c r="R105" i="23"/>
  <c r="R156" i="23"/>
  <c r="R101" i="23"/>
  <c r="R143" i="23"/>
  <c r="R121" i="23"/>
  <c r="R106" i="23"/>
  <c r="R125" i="23"/>
  <c r="R153" i="23"/>
  <c r="R102" i="23"/>
  <c r="R119" i="23"/>
  <c r="R90" i="23"/>
  <c r="R116" i="23"/>
  <c r="R142" i="23"/>
  <c r="R108" i="23"/>
  <c r="R128" i="23"/>
  <c r="R100" i="23"/>
  <c r="R118" i="23"/>
  <c r="R97" i="23"/>
  <c r="P158" i="23"/>
  <c r="P160" i="23" s="1"/>
  <c r="R93" i="23"/>
  <c r="R95" i="23"/>
  <c r="R150" i="23"/>
  <c r="R89" i="23"/>
  <c r="R146" i="23"/>
  <c r="R112" i="23"/>
  <c r="R155" i="23"/>
  <c r="R134" i="23"/>
  <c r="R109" i="23"/>
  <c r="R129" i="23"/>
  <c r="R154" i="23"/>
  <c r="R124" i="23"/>
  <c r="R92" i="23"/>
  <c r="R139" i="23"/>
  <c r="R96" i="23"/>
  <c r="S156" i="23"/>
  <c r="R126" i="23"/>
  <c r="R122" i="23"/>
  <c r="R145" i="23"/>
  <c r="R110" i="23"/>
  <c r="R137" i="23"/>
  <c r="R111" i="23"/>
  <c r="R104" i="23"/>
  <c r="R149" i="23"/>
  <c r="R127" i="23"/>
  <c r="P156" i="24" l="1"/>
  <c r="R130" i="24" s="1"/>
  <c r="S130" i="24"/>
  <c r="R154" i="24" l="1"/>
  <c r="R156" i="24"/>
  <c r="R149" i="24"/>
  <c r="R129" i="24"/>
  <c r="R142" i="24"/>
  <c r="R117" i="24"/>
  <c r="R97" i="24"/>
  <c r="R112" i="24"/>
  <c r="R110" i="24"/>
  <c r="R90" i="24"/>
  <c r="R143" i="24"/>
  <c r="R119" i="24"/>
  <c r="R105" i="24"/>
  <c r="S156" i="24"/>
  <c r="R93" i="24"/>
  <c r="R103" i="24"/>
  <c r="R116" i="24"/>
  <c r="R89" i="24"/>
  <c r="R95" i="24"/>
  <c r="R121" i="24"/>
  <c r="R92" i="24"/>
  <c r="R96" i="24"/>
  <c r="R94" i="24"/>
  <c r="R91" i="24"/>
  <c r="R137" i="24"/>
  <c r="R135" i="24"/>
  <c r="R122" i="24"/>
  <c r="R145" i="24"/>
  <c r="R136" i="24"/>
  <c r="R115" i="24"/>
  <c r="R146" i="24"/>
  <c r="R141" i="24"/>
  <c r="R155" i="24"/>
  <c r="R132" i="24"/>
  <c r="R126" i="24"/>
  <c r="R134" i="24"/>
  <c r="R109" i="24"/>
  <c r="R123" i="24"/>
  <c r="R114" i="24"/>
  <c r="R106" i="24"/>
  <c r="R148" i="24"/>
  <c r="R104" i="24"/>
  <c r="R99" i="24"/>
  <c r="R100" i="24"/>
  <c r="R118" i="24"/>
  <c r="R153" i="24"/>
  <c r="R140" i="24"/>
  <c r="R133" i="24"/>
  <c r="R139" i="24"/>
  <c r="R108" i="24"/>
  <c r="R125" i="24"/>
  <c r="R101" i="24"/>
  <c r="P158" i="24"/>
  <c r="P160" i="24" s="1"/>
  <c r="R152" i="24"/>
  <c r="R111" i="24"/>
  <c r="R128" i="24"/>
  <c r="R102" i="24"/>
  <c r="R147" i="24"/>
  <c r="R150" i="24"/>
  <c r="R124" i="24"/>
  <c r="R127"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<sst xmlns="http://schemas.openxmlformats.org/spreadsheetml/2006/main" count="19523" uniqueCount="4375">
  <si>
    <t xml:space="preserve">School Name:  </t>
  </si>
  <si>
    <t>Item</t>
  </si>
  <si>
    <t>References</t>
  </si>
  <si>
    <t>School Food Service</t>
  </si>
  <si>
    <t>Special Education</t>
  </si>
  <si>
    <t>Teachers</t>
  </si>
  <si>
    <t>100</t>
  </si>
  <si>
    <t>Social Security</t>
  </si>
  <si>
    <t>Retirement</t>
  </si>
  <si>
    <t>Unemployment</t>
  </si>
  <si>
    <t>200-290</t>
  </si>
  <si>
    <t>200</t>
  </si>
  <si>
    <t>Legal Services</t>
  </si>
  <si>
    <t>Accounting/Auditing Services</t>
  </si>
  <si>
    <t>300</t>
  </si>
  <si>
    <t>Purchased Student Transportation Services</t>
  </si>
  <si>
    <t>510-519</t>
  </si>
  <si>
    <t>Travel</t>
  </si>
  <si>
    <t>620-629</t>
  </si>
  <si>
    <t>Equipment/Furnishings</t>
  </si>
  <si>
    <t>Indirect Costs</t>
  </si>
  <si>
    <t>TOTAL EXPENDITURES</t>
  </si>
  <si>
    <t>100-900</t>
  </si>
  <si>
    <t>Medicare</t>
  </si>
  <si>
    <t>Water/Sewerage</t>
  </si>
  <si>
    <t>Interest on Loans/Notes</t>
  </si>
  <si>
    <t>GENERAL FUNDS</t>
  </si>
  <si>
    <t>Principal/Executive Salary</t>
  </si>
  <si>
    <t>Business Official Salary</t>
  </si>
  <si>
    <t>Therapists/Specialists/Counselors</t>
  </si>
  <si>
    <t xml:space="preserve">School Administrators  </t>
  </si>
  <si>
    <t>Clerical/Secretarial Salary</t>
  </si>
  <si>
    <t>Health Insurance Benefits - Current Employees</t>
  </si>
  <si>
    <t>Health Insurance Benefits - Retired Employees</t>
  </si>
  <si>
    <t>Custodial Salaries</t>
  </si>
  <si>
    <t>Management Company Services</t>
  </si>
  <si>
    <t>Repairs &amp; Maintenance Services</t>
  </si>
  <si>
    <t>Food &amp; Commodities</t>
  </si>
  <si>
    <t>600-644</t>
  </si>
  <si>
    <t>Materials and Supplies</t>
  </si>
  <si>
    <t>Earnings on Investments</t>
  </si>
  <si>
    <t>REVENUES FROM LOCAL SOURCES</t>
  </si>
  <si>
    <t>Contributions and Donations</t>
  </si>
  <si>
    <t>TOTAL REVENUES FROM LOCAL SOURCES</t>
  </si>
  <si>
    <t>REVENUE FROM STATE SOURCES</t>
  </si>
  <si>
    <t>Unrestricted Grants-In-Aid</t>
  </si>
  <si>
    <t>State Per Pupil Aid  -  MFP</t>
  </si>
  <si>
    <t>Other Unrestricted Revenues</t>
  </si>
  <si>
    <t>Restricted Grants-In-Aid</t>
  </si>
  <si>
    <t>Education Support Fund (8g)</t>
  </si>
  <si>
    <t>PIP</t>
  </si>
  <si>
    <t>TOTAL REVENUE FROM STATE SOURCES</t>
  </si>
  <si>
    <t>REVENUE FROM FEDERAL SOURCES</t>
  </si>
  <si>
    <t>Unrestricted Grants-In-Aid Direct From the Federal Gov't</t>
  </si>
  <si>
    <t>Restricted Grants-In-Aid Direct From the Federal Gov't</t>
  </si>
  <si>
    <t>Other Restricted Grants - Direct</t>
  </si>
  <si>
    <t>Restricted Grants-In-Aid From Federal Gov't Thru State</t>
  </si>
  <si>
    <t xml:space="preserve">    IDEA - Part B</t>
  </si>
  <si>
    <t>4531</t>
  </si>
  <si>
    <t xml:space="preserve">    IDEA - Preschool</t>
  </si>
  <si>
    <t>4532</t>
  </si>
  <si>
    <t xml:space="preserve">    Other Special Education Programs</t>
  </si>
  <si>
    <t>4535</t>
  </si>
  <si>
    <t>4541</t>
  </si>
  <si>
    <t xml:space="preserve">    Title I, Part C - Migrant</t>
  </si>
  <si>
    <t>4542</t>
  </si>
  <si>
    <t>4544</t>
  </si>
  <si>
    <t>4545</t>
  </si>
  <si>
    <t>4590</t>
  </si>
  <si>
    <t xml:space="preserve"> TOTAL REVENUE FROM FEDERAL SOURCES</t>
  </si>
  <si>
    <t>% of 
Total 
Budget</t>
  </si>
  <si>
    <t>Utilities (natural gas, electricity, coal, gasoline)</t>
  </si>
  <si>
    <t>Books and Periodicals (including textbooks/workbooks)</t>
  </si>
  <si>
    <t>Buildings Acquisitions (existing structures)</t>
  </si>
  <si>
    <t>TOTAL REVENUES &amp; OTHER SOURCES OF FUNDS</t>
  </si>
  <si>
    <t>SALARIES (Object 100 series)</t>
  </si>
  <si>
    <t>TOTAL SALARIES</t>
  </si>
  <si>
    <t>EMPLOYEE BENEFITS (Object 200 series)</t>
  </si>
  <si>
    <t>TOTAL EMPLOYEE BENEFITS</t>
  </si>
  <si>
    <t>TOTAL PURCHASED PROF. &amp; TECHNICAL SVCS.</t>
  </si>
  <si>
    <t>PURCHASED PROF. &amp; TECH. SVCS (Object 300 Series)</t>
  </si>
  <si>
    <t>PURCHASED PROPERTY SERVICES (Object 400 Series)</t>
  </si>
  <si>
    <t>TOTAL PURCHASED PROPERTY SERVICES</t>
  </si>
  <si>
    <t>SUPPLIES (Object 600 series)</t>
  </si>
  <si>
    <t>TOTAL SUPPLIES</t>
  </si>
  <si>
    <t>PROPERTY (Object 700 series)</t>
  </si>
  <si>
    <t>TOTAL PROPERTY</t>
  </si>
  <si>
    <t>OTHER OBJECTS (Object 800 series)</t>
  </si>
  <si>
    <t>TOTAL OTHER OBJECTS</t>
  </si>
  <si>
    <t>TOTAL OTHER USES OF FUNDS</t>
  </si>
  <si>
    <t>OTHER USES OF FUNDS (Object 900 Series)</t>
  </si>
  <si>
    <t>Revenues</t>
  </si>
  <si>
    <t>Expenditures</t>
  </si>
  <si>
    <t>L.A.U.G.H.
Source/
Object
Code</t>
  </si>
  <si>
    <t>Other Restricted Revenues (list grant &amp; amount below)</t>
  </si>
  <si>
    <t>100-150</t>
  </si>
  <si>
    <t>300-340</t>
  </si>
  <si>
    <t>Equipment &amp; Vehicle Rent/Lease</t>
  </si>
  <si>
    <t>400-490</t>
  </si>
  <si>
    <t>OTHER PURCHASED SERVICES (Object 500 Series)</t>
  </si>
  <si>
    <t>570</t>
  </si>
  <si>
    <t>630-632</t>
  </si>
  <si>
    <t>1000-1999</t>
  </si>
  <si>
    <t>Comments/Assumptions</t>
  </si>
  <si>
    <t>TOTAL OTHER PURCHASED SERVICES</t>
  </si>
  <si>
    <t xml:space="preserve">Excess (Deficiency) of Revenues over Expenditures  </t>
  </si>
  <si>
    <t xml:space="preserve">Fund Balance From Prior Year  </t>
  </si>
  <si>
    <t xml:space="preserve">Fund Balance at End of Year  </t>
  </si>
  <si>
    <t>Food Service (Income from meals)</t>
  </si>
  <si>
    <t>E-Rate Reimbursements</t>
  </si>
  <si>
    <t>Impact Aid Fund - Direct from Federal Gov't</t>
  </si>
  <si>
    <t>ROTC - Direct from Federal Gov't</t>
  </si>
  <si>
    <t>Career &amp; Technical Education</t>
  </si>
  <si>
    <t xml:space="preserve">    FEMA - Disaster Relief</t>
  </si>
  <si>
    <t>Building and Land Rent/Lease</t>
  </si>
  <si>
    <t>Food Service Management</t>
  </si>
  <si>
    <t>230-290</t>
  </si>
  <si>
    <t>Other (exclude amounts on lines 2 - 6)</t>
  </si>
  <si>
    <t>1500-1542</t>
  </si>
  <si>
    <t>1600-1620</t>
  </si>
  <si>
    <t>Other Unrestricted Grants - Direct</t>
  </si>
  <si>
    <t>500-590</t>
  </si>
  <si>
    <t>Land Purchases and Land Improvements</t>
  </si>
  <si>
    <t>730-739</t>
  </si>
  <si>
    <t>700-740</t>
  </si>
  <si>
    <t>800 - 890</t>
  </si>
  <si>
    <t>900-932</t>
  </si>
  <si>
    <t>Loan Repayment (principal only)</t>
  </si>
  <si>
    <t>SPECIAL FUNDS</t>
  </si>
  <si>
    <t xml:space="preserve">Student Count Budget is Based on: </t>
  </si>
  <si>
    <t>Local "MFP" Per Pupil Aid (Local Revenue transfers)</t>
  </si>
  <si>
    <t>580-583</t>
  </si>
  <si>
    <t>640-644</t>
  </si>
  <si>
    <t xml:space="preserve">    Extended School Year Services</t>
  </si>
  <si>
    <t>TOTAL FUNDS</t>
  </si>
  <si>
    <t xml:space="preserve">    Title I </t>
  </si>
  <si>
    <t xml:space="preserve">    Title I - School Improvement</t>
  </si>
  <si>
    <t xml:space="preserve">    Educational Excellence Fund (EEF)</t>
  </si>
  <si>
    <t>Every Student Succeeds Act (ESSA)</t>
  </si>
  <si>
    <t xml:space="preserve">     Charter School Grant (CSP Funds)</t>
  </si>
  <si>
    <t xml:space="preserve">    IDEA - High Cost Services (HCS)</t>
  </si>
  <si>
    <t xml:space="preserve">    Other ESSA Programs</t>
  </si>
  <si>
    <t xml:space="preserve">    Title IV - Student Support &amp; Acad. Enrichment (SSAE)</t>
  </si>
  <si>
    <t xml:space="preserve">    Title III</t>
  </si>
  <si>
    <t>Administrative Fee Payable to Dept of Education</t>
  </si>
  <si>
    <t>Dues and Fees</t>
  </si>
  <si>
    <t>Property Insurance</t>
  </si>
  <si>
    <t>Liability insurance</t>
  </si>
  <si>
    <t>Fleet insurance</t>
  </si>
  <si>
    <t>Errors/omissions, etc</t>
  </si>
  <si>
    <t>Faithful performance Bonds</t>
  </si>
  <si>
    <t xml:space="preserve">    Title II - Supporting Effective Instruction</t>
  </si>
  <si>
    <t xml:space="preserve">    Title IX - Homeless Education</t>
  </si>
  <si>
    <t xml:space="preserve">    Gov. Emergency Education Relief Fund (GEERF) I</t>
  </si>
  <si>
    <t xml:space="preserve">    Elem. &amp; Secondary School Emergency Relief (ESSERF) I</t>
  </si>
  <si>
    <t xml:space="preserve">    Elem. &amp; Secondary School Emergency Relief (ESSERF) II</t>
  </si>
  <si>
    <t xml:space="preserve">    American Rescue Plan Elem. &amp; Secondary  (ESSERF) III</t>
  </si>
  <si>
    <t xml:space="preserve">    Rethink K-12 Education Models Discretionary Grant </t>
  </si>
  <si>
    <t xml:space="preserve">General Fund Balance as a percentage of revenues </t>
  </si>
  <si>
    <t xml:space="preserve">TOTAL </t>
  </si>
  <si>
    <t>Budget Revisions</t>
  </si>
  <si>
    <t>Revised Annual Budget 2021-22</t>
  </si>
  <si>
    <t>Quarter</t>
  </si>
  <si>
    <t xml:space="preserve">Ending </t>
  </si>
  <si>
    <t xml:space="preserve">     LA-4 (State)</t>
  </si>
  <si>
    <t>Qtr 1</t>
  </si>
  <si>
    <t>Qtr 2</t>
  </si>
  <si>
    <t>Qtr 3</t>
  </si>
  <si>
    <t>Annual</t>
  </si>
  <si>
    <t>Budget
As of
09/30</t>
  </si>
  <si>
    <t>Budget
As of
12/31</t>
  </si>
  <si>
    <t>Budget
As of
03/30</t>
  </si>
  <si>
    <r>
      <t>·</t>
    </r>
    <r>
      <rPr>
        <sz val="7"/>
        <rFont val="Times New Roman"/>
        <family val="1"/>
      </rPr>
      <t xml:space="preserve">         </t>
    </r>
    <r>
      <rPr>
        <sz val="11"/>
        <rFont val="Calibri"/>
        <family val="2"/>
      </rPr>
      <t>Enter comments in column N as appropriate for individual revenue or expenditure items</t>
    </r>
  </si>
  <si>
    <r>
      <t>·</t>
    </r>
    <r>
      <rPr>
        <sz val="7"/>
        <rFont val="Times New Roman"/>
        <family val="1"/>
      </rPr>
      <t xml:space="preserve">         </t>
    </r>
    <r>
      <rPr>
        <sz val="11"/>
        <rFont val="Calibri"/>
        <family val="2"/>
      </rPr>
      <t>Formulas will automatically sum the General and Special Funds columns in Total Funds columns J and K for both the prior and current fiscal year numbers</t>
    </r>
  </si>
  <si>
    <r>
      <t>·</t>
    </r>
    <r>
      <rPr>
        <sz val="7"/>
        <rFont val="Times New Roman"/>
        <family val="1"/>
      </rPr>
      <t xml:space="preserve">         </t>
    </r>
    <r>
      <rPr>
        <sz val="11"/>
        <rFont val="Calibri"/>
        <family val="2"/>
      </rPr>
      <t>Enter the school name in column D</t>
    </r>
  </si>
  <si>
    <t>Instructions:</t>
  </si>
  <si>
    <t>Annual Budget Form</t>
  </si>
  <si>
    <t>Quarterly Budget Form</t>
  </si>
  <si>
    <r>
      <t>·</t>
    </r>
    <r>
      <rPr>
        <sz val="7"/>
        <rFont val="Times New Roman"/>
        <family val="1"/>
      </rPr>
      <t xml:space="preserve">         </t>
    </r>
    <r>
      <rPr>
        <sz val="11"/>
        <rFont val="Calibri"/>
        <family val="2"/>
      </rPr>
      <t>School name will automatically populate from Annual Budget form</t>
    </r>
  </si>
  <si>
    <r>
      <t>·</t>
    </r>
    <r>
      <rPr>
        <sz val="7"/>
        <rFont val="Times New Roman"/>
        <family val="1"/>
      </rPr>
      <t xml:space="preserve">         </t>
    </r>
    <r>
      <rPr>
        <sz val="11"/>
        <rFont val="Calibri"/>
        <family val="2"/>
      </rPr>
      <t>Enter the student count on which the Quarter 1 budget is based in column N</t>
    </r>
  </si>
  <si>
    <r>
      <t>·</t>
    </r>
    <r>
      <rPr>
        <sz val="7"/>
        <rFont val="Times New Roman"/>
        <family val="1"/>
      </rPr>
      <t xml:space="preserve">         </t>
    </r>
    <r>
      <rPr>
        <sz val="11"/>
        <rFont val="Calibri"/>
        <family val="2"/>
      </rPr>
      <t>Current year budget will automatically populate from Annual Budget form in columns F, J and N</t>
    </r>
  </si>
  <si>
    <t>(If needed, add additional revenue sources here)</t>
  </si>
  <si>
    <r>
      <t>·</t>
    </r>
    <r>
      <rPr>
        <sz val="7"/>
        <rFont val="Times New Roman"/>
        <family val="1"/>
      </rPr>
      <t xml:space="preserve">         </t>
    </r>
    <r>
      <rPr>
        <sz val="11"/>
        <rFont val="Calibri"/>
        <family val="2"/>
      </rPr>
      <t>Enter the student count from the prior year actual and the student count on which the current year budget is based in column N</t>
    </r>
  </si>
  <si>
    <r>
      <t>·</t>
    </r>
    <r>
      <rPr>
        <sz val="7"/>
        <rFont val="Times New Roman"/>
        <family val="1"/>
      </rPr>
      <t xml:space="preserve">         </t>
    </r>
    <r>
      <rPr>
        <sz val="11"/>
        <rFont val="Calibri"/>
        <family val="2"/>
      </rPr>
      <t xml:space="preserve">Enter the </t>
    </r>
    <r>
      <rPr>
        <i/>
        <sz val="11"/>
        <rFont val="Calibri"/>
        <family val="2"/>
      </rPr>
      <t>actual revenues and expenses</t>
    </r>
    <r>
      <rPr>
        <sz val="11"/>
        <rFont val="Calibri"/>
        <family val="2"/>
      </rPr>
      <t xml:space="preserve"> for the prior fiscal year for General Fund in column F </t>
    </r>
  </si>
  <si>
    <r>
      <t>·</t>
    </r>
    <r>
      <rPr>
        <sz val="7"/>
        <rFont val="Times New Roman"/>
        <family val="1"/>
      </rPr>
      <t xml:space="preserve">         </t>
    </r>
    <r>
      <rPr>
        <sz val="11"/>
        <rFont val="Calibri"/>
        <family val="2"/>
      </rPr>
      <t xml:space="preserve">Enter the </t>
    </r>
    <r>
      <rPr>
        <i/>
        <sz val="11"/>
        <rFont val="Calibri"/>
        <family val="2"/>
      </rPr>
      <t>actual revenues and expenses</t>
    </r>
    <r>
      <rPr>
        <sz val="11"/>
        <rFont val="Calibri"/>
        <family val="2"/>
      </rPr>
      <t xml:space="preserve"> for the prior fiscal year for Special Funds in column H</t>
    </r>
  </si>
  <si>
    <r>
      <t>·</t>
    </r>
    <r>
      <rPr>
        <sz val="7"/>
        <rFont val="Times New Roman"/>
        <family val="1"/>
      </rPr>
      <t xml:space="preserve">         </t>
    </r>
    <r>
      <rPr>
        <sz val="11"/>
        <rFont val="Calibri"/>
        <family val="2"/>
      </rPr>
      <t xml:space="preserve">Enter the </t>
    </r>
    <r>
      <rPr>
        <i/>
        <sz val="11"/>
        <rFont val="Calibri"/>
        <family val="2"/>
      </rPr>
      <t xml:space="preserve">budget for the current fiscal year for </t>
    </r>
    <r>
      <rPr>
        <sz val="11"/>
        <rFont val="Calibri"/>
        <family val="2"/>
      </rPr>
      <t>Special Funds in column I</t>
    </r>
  </si>
  <si>
    <r>
      <t>o</t>
    </r>
    <r>
      <rPr>
        <sz val="7"/>
        <color rgb="FF0070C0"/>
        <rFont val="Times New Roman"/>
        <family val="1"/>
      </rPr>
      <t xml:space="preserve">   </t>
    </r>
    <r>
      <rPr>
        <sz val="11"/>
        <color rgb="FF0070C0"/>
        <rFont val="Calibri"/>
        <family val="2"/>
      </rPr>
      <t xml:space="preserve">Note:  Annual Budget data aligns with the Annual Financial Report (AFR) and the Louisiana Accounting and Uniform Governmental Handbook (LAUGH), Bulletin 1929 both of which follow governmental accounting principles.  
Louisiana laws contain requirements for school district accounting.  By law, the Louisiana Accounting and Uniform Governmental Handbook (LAUGH) (Bulletin 1929) is the required accounting manual for local educational agencies.  
This document can be accessed on the Department of Education's website at www.louisianabelieves.com.  (link:  http://www.louisianabelieves.com/docs/school-choice/guide---laugh-guide.pdf?sfvrsn=2 )  </t>
    </r>
  </si>
  <si>
    <r>
      <t>·</t>
    </r>
    <r>
      <rPr>
        <sz val="7"/>
        <rFont val="Times New Roman"/>
        <family val="1"/>
      </rPr>
      <t xml:space="preserve">         </t>
    </r>
    <r>
      <rPr>
        <sz val="11"/>
        <rFont val="Calibri"/>
        <family val="2"/>
      </rPr>
      <t>Enter the Quarter 1 revenues and expenses for both General and Special Funds in Yr-to-Date Revenue/Expenditures in columns I and M</t>
    </r>
  </si>
  <si>
    <r>
      <t>·</t>
    </r>
    <r>
      <rPr>
        <sz val="7"/>
        <rFont val="Times New Roman"/>
        <family val="1"/>
      </rPr>
      <t xml:space="preserve">         </t>
    </r>
    <r>
      <rPr>
        <sz val="11"/>
        <rFont val="Calibri"/>
        <family val="2"/>
      </rPr>
      <t>Formulas will automatically sum the Yr-to-Date Revenue/Expenditures in Total Funds column Q</t>
    </r>
  </si>
  <si>
    <t>Pandemic Relief Funds</t>
  </si>
  <si>
    <t>Other Restricted Grants thru State (list grant &amp; amount below)</t>
  </si>
  <si>
    <r>
      <t xml:space="preserve">Other Sources of Funds </t>
    </r>
    <r>
      <rPr>
        <i/>
        <sz val="11"/>
        <rFont val="Arial"/>
        <family val="2"/>
      </rPr>
      <t>(Provide Detail)</t>
    </r>
  </si>
  <si>
    <t>Other Sources of Funds (Provide Detail)</t>
  </si>
  <si>
    <t>Yr-to-Date Revenue/
Expenditures</t>
  </si>
  <si>
    <t>SPECIAL FUNDS
Includes Special Fund Federal, Federal ESSA, &amp; Other Special Funds</t>
  </si>
  <si>
    <t>Actual
% of 
Budget</t>
  </si>
  <si>
    <t>Other School Administrators (exclude amounts on lines 79-80)</t>
  </si>
  <si>
    <t>Other (excludes amounts on lines 79-85)</t>
  </si>
  <si>
    <t>Other (excludes amounts on lines 89-94)</t>
  </si>
  <si>
    <t>Other Purch Prof/Tech Svcs (excludes amounts on lines 98-100)</t>
  </si>
  <si>
    <t>Other (excludes amounts on lines 104-107)</t>
  </si>
  <si>
    <t>Other (excludes amounts on lines 111-118)</t>
  </si>
  <si>
    <t>Other Supplies (excludes amounts on lines 122-125)</t>
  </si>
  <si>
    <t>Other (Excludes amounts on lines 129-131)</t>
  </si>
  <si>
    <t>Other (excludes amounts on lines 135-138)</t>
  </si>
  <si>
    <t>Other (Excludes amounts on line 142)</t>
  </si>
  <si>
    <t>Other (exclude amounts on lines 3-7)</t>
  </si>
  <si>
    <t>Includes Special Fund Federal, Federal ESSA and Other Special Funds</t>
  </si>
  <si>
    <t>Other (Excludes amounts on lines 129-132)</t>
  </si>
  <si>
    <t>Other (Excludes amount on line 142)</t>
  </si>
  <si>
    <r>
      <t>·</t>
    </r>
    <r>
      <rPr>
        <sz val="7"/>
        <rFont val="Times New Roman"/>
        <family val="1"/>
      </rPr>
      <t xml:space="preserve">         </t>
    </r>
    <r>
      <rPr>
        <sz val="11"/>
        <rFont val="Calibri"/>
        <family val="2"/>
      </rPr>
      <t xml:space="preserve">Enter the </t>
    </r>
    <r>
      <rPr>
        <i/>
        <sz val="11"/>
        <rFont val="Calibri"/>
        <family val="2"/>
      </rPr>
      <t>budget for the current fiscal year</t>
    </r>
    <r>
      <rPr>
        <sz val="11"/>
        <rFont val="Calibri"/>
        <family val="2"/>
      </rPr>
      <t xml:space="preserve">, for General Fund in column G </t>
    </r>
  </si>
  <si>
    <t xml:space="preserve">    Coronavirus Relief Fund</t>
  </si>
  <si>
    <t>Budget Adjustments</t>
  </si>
  <si>
    <r>
      <t>·</t>
    </r>
    <r>
      <rPr>
        <sz val="7"/>
        <rFont val="Times New Roman"/>
        <family val="1"/>
      </rPr>
      <t xml:space="preserve">         </t>
    </r>
    <r>
      <rPr>
        <sz val="11"/>
        <rFont val="Calibri"/>
        <family val="2"/>
      </rPr>
      <t>Enter any budget adjustments (plus or minus amounts)  in columns G and K</t>
    </r>
  </si>
  <si>
    <r>
      <t>·</t>
    </r>
    <r>
      <rPr>
        <sz val="7"/>
        <rFont val="Times New Roman"/>
        <family val="1"/>
      </rPr>
      <t xml:space="preserve">         </t>
    </r>
    <r>
      <rPr>
        <sz val="11"/>
        <rFont val="Calibri"/>
        <family val="2"/>
      </rPr>
      <t>Budget adjustment amounts for both General and Special Funds will be summed in column O</t>
    </r>
  </si>
  <si>
    <t>Due Date:</t>
  </si>
  <si>
    <t>Financial Report</t>
  </si>
  <si>
    <t>July 31</t>
  </si>
  <si>
    <t>September 30</t>
  </si>
  <si>
    <t>October 31</t>
  </si>
  <si>
    <t>January 31</t>
  </si>
  <si>
    <t>April 30</t>
  </si>
  <si>
    <t>Annual Operating Budget</t>
  </si>
  <si>
    <t>Adopted Operating Budget</t>
  </si>
  <si>
    <t>First Quarter Financial Report</t>
  </si>
  <si>
    <t>Second Quarter Financial Report</t>
  </si>
  <si>
    <t>Third Quarter Financial Report</t>
  </si>
  <si>
    <t>Includes actual data for the prior fiscal year ending June 30 along with budgeted data for the current fiscal year starting July 1.</t>
  </si>
  <si>
    <t>Submission is required if July 31 Annual Operating Budget was not adopted in accordance with the Louisiana Local Government Budget Act.</t>
  </si>
  <si>
    <t>Includes budgeted data for the fiscal year along with the year to date (YTD) actual data through September 30.</t>
  </si>
  <si>
    <t>Includes budgeted data for the fiscal year along with the year to date (YTD) actual data through March 31.</t>
  </si>
  <si>
    <t>Includes budgeted data for the fiscal year along with the year to date (YTD) actual data through December 31.</t>
  </si>
  <si>
    <r>
      <t>·</t>
    </r>
    <r>
      <rPr>
        <sz val="7"/>
        <rFont val="Times New Roman"/>
        <family val="1"/>
      </rPr>
      <t xml:space="preserve">         </t>
    </r>
    <r>
      <rPr>
        <sz val="11"/>
        <rFont val="Calibri"/>
        <family val="2"/>
      </rPr>
      <t>Adjusted budget including current year budget plus or minus budget adjustments will automatically sum in the "Budget as of" column (columns H, L and P)</t>
    </r>
  </si>
  <si>
    <t>FISCAL YEAR 2023-24
CHARTER SCHOOL BUDGET REPORT</t>
  </si>
  <si>
    <t>Budget 
2023-24</t>
  </si>
  <si>
    <t>FISCAL YEAR 2023-2024
CHARTER SCHOOL BUDGET REPORT</t>
  </si>
  <si>
    <t>Account</t>
  </si>
  <si>
    <t>Revenue</t>
  </si>
  <si>
    <t>State and Local Revenue</t>
  </si>
  <si>
    <t>State and Local Revenue Total</t>
  </si>
  <si>
    <t>Federal Revenue</t>
  </si>
  <si>
    <t>Federal Revenue Total</t>
  </si>
  <si>
    <t>Revenue Total</t>
  </si>
  <si>
    <t>Expenses</t>
  </si>
  <si>
    <t>Salaries</t>
  </si>
  <si>
    <t>Salaries Total</t>
  </si>
  <si>
    <t>Benefits and Taxes</t>
  </si>
  <si>
    <t>Benefits and Taxes Total</t>
  </si>
  <si>
    <t>Purchased Professional &amp; Technical Services</t>
  </si>
  <si>
    <t>Purchased Professional &amp; Technical Services Total</t>
  </si>
  <si>
    <t>Purchased Property Services</t>
  </si>
  <si>
    <t>Purchased Property Services Total</t>
  </si>
  <si>
    <t>Other Purchased Services</t>
  </si>
  <si>
    <t>Other Purchased Services Total</t>
  </si>
  <si>
    <t>Supplies</t>
  </si>
  <si>
    <t>Supplies Total</t>
  </si>
  <si>
    <t>Miscellaneous</t>
  </si>
  <si>
    <t>Miscellaneous Total</t>
  </si>
  <si>
    <t>Expenses Total</t>
  </si>
  <si>
    <t>NET ORDINARY INCOME</t>
  </si>
  <si>
    <t>GF</t>
  </si>
  <si>
    <t>SR</t>
  </si>
  <si>
    <t>EEF</t>
  </si>
  <si>
    <t>Title I</t>
  </si>
  <si>
    <t>TOTAL</t>
  </si>
  <si>
    <t xml:space="preserve">      1994000 Local MFP</t>
  </si>
  <si>
    <t xml:space="preserve">      3110000 State MFP</t>
  </si>
  <si>
    <t xml:space="preserve">      3220000 Education Support Fund</t>
  </si>
  <si>
    <t xml:space="preserve">      4531000 IDEA, Part B</t>
  </si>
  <si>
    <t xml:space="preserve">      4532000 IDEA, PreK</t>
  </si>
  <si>
    <t>Gross Profit</t>
  </si>
  <si>
    <t xml:space="preserve">      1151210 Aides-Special Education</t>
  </si>
  <si>
    <t xml:space="preserve">      2600000 Workmens Comp</t>
  </si>
  <si>
    <t xml:space="preserve">      5402310 Advertising</t>
  </si>
  <si>
    <t xml:space="preserve">   6000000 Supplies</t>
  </si>
  <si>
    <t xml:space="preserve">   Total 6000000 Supplies</t>
  </si>
  <si>
    <t>Budget Line #</t>
  </si>
  <si>
    <t>Account #</t>
  </si>
  <si>
    <t xml:space="preserve">      4545000 Title II, Part A</t>
  </si>
  <si>
    <t xml:space="preserve">      4422400 Rental of Equip-School Admin</t>
  </si>
  <si>
    <t xml:space="preserve">      5222620 Property Insurance</t>
  </si>
  <si>
    <t>Title II</t>
  </si>
  <si>
    <t xml:space="preserve"> SY24-25</t>
  </si>
  <si>
    <t>1994000-1 · Local MFP</t>
  </si>
  <si>
    <t>1994000-2 · Local MFP</t>
  </si>
  <si>
    <t>3110000-1 · State MFP</t>
  </si>
  <si>
    <t>3110000-2 · State MFP</t>
  </si>
  <si>
    <t>3240000-1 · LA4</t>
  </si>
  <si>
    <t>3290000-1 · Other Restricted Revenues</t>
  </si>
  <si>
    <t>3290000-2 · Other Restricted Revenues</t>
  </si>
  <si>
    <t>4515000-1 · School Food Service</t>
  </si>
  <si>
    <t>4515000-2 · School Food Service</t>
  </si>
  <si>
    <t>4531000-1 · IDEA, Part B</t>
  </si>
  <si>
    <t>4531000-2 · IDEA, Part B</t>
  </si>
  <si>
    <t>4532000-1 · IDEA, PreK</t>
  </si>
  <si>
    <t>4532000-2 · IDEA, PreK</t>
  </si>
  <si>
    <t>4541000-1 · Title I Revenue</t>
  </si>
  <si>
    <t>4541000-2 · Title I Revenue</t>
  </si>
  <si>
    <t xml:space="preserve">4544000-1 · Title IV, Part A </t>
  </si>
  <si>
    <t xml:space="preserve">4544000-2 · Title IV, Part A </t>
  </si>
  <si>
    <t xml:space="preserve">4545000-1 · Title II, Part A </t>
  </si>
  <si>
    <t xml:space="preserve">4545000-2 · Title II, Part A </t>
  </si>
  <si>
    <t>4590000-1 · Other Federal Funds</t>
  </si>
  <si>
    <t>4590000-2 · Other Federal Funds</t>
  </si>
  <si>
    <t>Earned Fees</t>
  </si>
  <si>
    <t>1999000-1 · Other Miscellaneous Revenues</t>
  </si>
  <si>
    <t>1999000-2 · Other Miscellaneous Revenues</t>
  </si>
  <si>
    <t>Earned Fees Total</t>
  </si>
  <si>
    <t>1111110-1 · Salary Admin</t>
  </si>
  <si>
    <t>1111110-2 · Salary Admin</t>
  </si>
  <si>
    <t>1112220-1 · Instruction Dev Svcs Supervisors</t>
  </si>
  <si>
    <t>1112220-2 · Instruction Dev Svcs Supervisors</t>
  </si>
  <si>
    <t>1112400-1 · School Admin</t>
  </si>
  <si>
    <t>1112400-2 · School Admin</t>
  </si>
  <si>
    <t>1112410-1 · Principals</t>
  </si>
  <si>
    <t>1112410-2 · Principals</t>
  </si>
  <si>
    <t>1112430-1 · CEO</t>
  </si>
  <si>
    <t>1112430-2 · CEO</t>
  </si>
  <si>
    <t>1112490-1 · Other Admin</t>
  </si>
  <si>
    <t>1112490-2 · Other Admin</t>
  </si>
  <si>
    <t>1121110-1 · Elementary Teachers</t>
  </si>
  <si>
    <t>1121110-2 · Elementary Teachers</t>
  </si>
  <si>
    <t>1121210-1 · Special Education Teachers</t>
  </si>
  <si>
    <t>1121210-2 · Special Education Teachers</t>
  </si>
  <si>
    <t>1121520-1 · ELL Teacher</t>
  </si>
  <si>
    <t>1121590-1 · Pre K Teacher</t>
  </si>
  <si>
    <t>1132122-1 · Social Workers</t>
  </si>
  <si>
    <t>1132122-2 · Social Workers</t>
  </si>
  <si>
    <t>1142400-1 · Secretarial</t>
  </si>
  <si>
    <t>1142400-2 · Secretarial</t>
  </si>
  <si>
    <t>1151100-2 · Aides  Regular Programs</t>
  </si>
  <si>
    <t>1151210-1 · Aides  Special Education</t>
  </si>
  <si>
    <t>1151210-2 · Aides  Special Education</t>
  </si>
  <si>
    <t>1162620-2 · Custodial Staff</t>
  </si>
  <si>
    <t>1162620-3 · Custodial Staff</t>
  </si>
  <si>
    <t>1501100-1 · Instructional Stipend</t>
  </si>
  <si>
    <t>1502590-1 · Office Admin Stipend</t>
  </si>
  <si>
    <t>2102400-1 · Group Health Insurance School Admin</t>
  </si>
  <si>
    <t>2102400-2 · Group Health Insurance School Admin</t>
  </si>
  <si>
    <t>2201100-1 · FICA Contributions</t>
  </si>
  <si>
    <t>2201100-2 · FICA Contributions</t>
  </si>
  <si>
    <t>2251100-1 · Medicare Contributions</t>
  </si>
  <si>
    <t>2251100-2 · Medicare Contributions</t>
  </si>
  <si>
    <t>2391100-1 · Other Retirement Contributions</t>
  </si>
  <si>
    <t>2391100-2 · Other Retirement Contributions</t>
  </si>
  <si>
    <t>2501100-1 · Unemployment Compensation</t>
  </si>
  <si>
    <t>2501100-2 · Unemployment Compensation</t>
  </si>
  <si>
    <t>2601100-1 · Workmens Compensation</t>
  </si>
  <si>
    <t>2601100-2 · Workmens Compensation</t>
  </si>
  <si>
    <t>2901100-1 · Other Benefits</t>
  </si>
  <si>
    <t>2901100-2 · Other Benefits</t>
  </si>
  <si>
    <t>3001210-1 · Other Purch Tech SvcsSPED</t>
  </si>
  <si>
    <t>3001210-2 · Other Purch Tech SvcsSPED</t>
  </si>
  <si>
    <t>3002140-1 · Purchased Professional and Technical SPED Assessments</t>
  </si>
  <si>
    <t>3002140-2 · Purchased Professional and Technical SPED Assessments</t>
  </si>
  <si>
    <t>3002150-1 · Speech Svcs</t>
  </si>
  <si>
    <t>3002150-2 · Speech Svcs</t>
  </si>
  <si>
    <t>3002160-1 · Occupational Therapy</t>
  </si>
  <si>
    <t>3002160-2 · Occupational Therapy</t>
  </si>
  <si>
    <t>3002231-1 · Purchased Professional and Tech Serv PD</t>
  </si>
  <si>
    <t>3002231-2 · Purchased Professional and Tech Serv PD</t>
  </si>
  <si>
    <t>3002232-1 · Purchased Professional and Tech PD SPED</t>
  </si>
  <si>
    <t>3002232-2 · Purchased Professional and Tech PD SPED</t>
  </si>
  <si>
    <t>3002400-1 · School Admin Purch Tech Svcs</t>
  </si>
  <si>
    <t>3002400-2 · School Admin Purch Tech Svcs</t>
  </si>
  <si>
    <t>3002510-1 · Fiscal Svcs</t>
  </si>
  <si>
    <t>3002510-2 · Fiscal Svcs</t>
  </si>
  <si>
    <t>3002660-1 · Safety and Security Svcs</t>
  </si>
  <si>
    <t>3002660-2 · Safety and Security Svcs</t>
  </si>
  <si>
    <t>3002830-1 · Human Resource Svcs</t>
  </si>
  <si>
    <t>3002830-2 · Human Resource Svcs</t>
  </si>
  <si>
    <t>3322310-1 · Legal Svcs</t>
  </si>
  <si>
    <t>3322310-2 · Legal Svcs</t>
  </si>
  <si>
    <t>3332310-1 · Audit Svcs</t>
  </si>
  <si>
    <t>3332310-2 · Audit Svcs</t>
  </si>
  <si>
    <t>3352134-1 · Nursing Services</t>
  </si>
  <si>
    <t>3352134-2 · Nursing Services</t>
  </si>
  <si>
    <t>3402840-1 · Admin Tech Svcs</t>
  </si>
  <si>
    <t>3402840-2 · Admin Tech Svcs</t>
  </si>
  <si>
    <t>4002310-1 · Other Purchased Property Services</t>
  </si>
  <si>
    <t>4002310-2 · Other Purchased Property Services</t>
  </si>
  <si>
    <t>4002660-1 · Safety and Security Svcs</t>
  </si>
  <si>
    <t>4002660-2 · Safety and Security Svcs</t>
  </si>
  <si>
    <t>4112620-1 · Water and Sewage</t>
  </si>
  <si>
    <t>4112620-2 · Water and Sewage</t>
  </si>
  <si>
    <t>4212620-1 · Disposal Svcs</t>
  </si>
  <si>
    <t>4212620-2 · Disposal Svcs</t>
  </si>
  <si>
    <t>4242630-1 · Lawn Care</t>
  </si>
  <si>
    <t>4242630-2 · Lawn Care</t>
  </si>
  <si>
    <t>4302620-1 · Repairs and Maint Svcs</t>
  </si>
  <si>
    <t>4302620-2 · Repairs and Maint Svcs</t>
  </si>
  <si>
    <t>4422400-1 · Rental of EquipSchool Admin</t>
  </si>
  <si>
    <t>4422400-2 · Rental of EquipSchool Admin</t>
  </si>
  <si>
    <t>5001100-1 · Instructional Online Services</t>
  </si>
  <si>
    <t>5001100-2 · Instructional Online Services</t>
  </si>
  <si>
    <t>5002720-1 · Regular Transportation</t>
  </si>
  <si>
    <t>5002720-2 · Regular Transportation</t>
  </si>
  <si>
    <t>5212310-1 · Liability Insurance</t>
  </si>
  <si>
    <t>5212310-2 · Liability Insurance</t>
  </si>
  <si>
    <t>5222620-1 · Prop Ins</t>
  </si>
  <si>
    <t>5302400-1 · Communications</t>
  </si>
  <si>
    <t>5302400-2 · Communications</t>
  </si>
  <si>
    <t>5703100-1 · Food Svcs Operations</t>
  </si>
  <si>
    <t>5703100-2 · Food Svcs Operations</t>
  </si>
  <si>
    <t>5822220-1 · Travel-Instruction Dev Svcs</t>
  </si>
  <si>
    <t>5822220-2 · Travel-Instruction Dev Svcs</t>
  </si>
  <si>
    <t>5822400-1 · Other Purch Svcs-Travel-School Admin</t>
  </si>
  <si>
    <t>5822400-2 · Other Purch Svcs-Travel-School Admin</t>
  </si>
  <si>
    <t>6101100-1 · Regular Programs</t>
  </si>
  <si>
    <t>6101100-2 · Regular Programs</t>
  </si>
  <si>
    <t>6101210-1 · Special Education</t>
  </si>
  <si>
    <t>6101210-2 · Special Education</t>
  </si>
  <si>
    <t>6101420-1 · Athletics Supplies</t>
  </si>
  <si>
    <t>6101420-2 · Athletics Supplies</t>
  </si>
  <si>
    <t>6102211-1 · Supplies Improvement Instructional Staff</t>
  </si>
  <si>
    <t>6102211-2 · Supplies Improvement Instructional Staff</t>
  </si>
  <si>
    <t>6102400-1 · School Admin Suplies</t>
  </si>
  <si>
    <t>6102400-2 · School Admin Suplies</t>
  </si>
  <si>
    <t>6102620-1 · Operation and Maintenance of Buildings</t>
  </si>
  <si>
    <t>6102620-2 · Operation and Maintenance of Buildings</t>
  </si>
  <si>
    <t>6151100-1 · TechRegular Programs</t>
  </si>
  <si>
    <t>6151100-2 · TechRegular Programs</t>
  </si>
  <si>
    <t>6152400-1 · Tech-School Admin</t>
  </si>
  <si>
    <t>6152400-2 · Tech-School Admin</t>
  </si>
  <si>
    <t>6222620-1 · Electricity</t>
  </si>
  <si>
    <t>6222620-2 · Electricity</t>
  </si>
  <si>
    <t>6421100-1 · Textbooks and Workbooks</t>
  </si>
  <si>
    <t>6421100-2 · Textbooks and Workbooks</t>
  </si>
  <si>
    <t>8102400-1 · Dues and FeesSchool Admin</t>
  </si>
  <si>
    <t>8102400-2 · Dues and FeesSchool Admin</t>
  </si>
  <si>
    <t>ESSER II F</t>
  </si>
  <si>
    <t>ESSER II Inc</t>
  </si>
  <si>
    <t>ESSER III EB</t>
  </si>
  <si>
    <t>ESSER III F</t>
  </si>
  <si>
    <t>Food Service</t>
  </si>
  <si>
    <t>IDEA B</t>
  </si>
  <si>
    <t>IDEA PreK</t>
  </si>
  <si>
    <t>MFP CCS</t>
  </si>
  <si>
    <t>MFP DCA</t>
  </si>
  <si>
    <t>Smarter Safer School</t>
  </si>
  <si>
    <t>Title IV</t>
  </si>
  <si>
    <t>Income</t>
  </si>
  <si>
    <t xml:space="preserve">   1900 Other Rev From Local Sources</t>
  </si>
  <si>
    <t xml:space="preserve">      1999000 Other Misc Revenues-Other Miscellaneous Revenues</t>
  </si>
  <si>
    <t xml:space="preserve">   Total 1900 Other Rev From Local Sources</t>
  </si>
  <si>
    <t xml:space="preserve">   3000 Revenue From State Sources</t>
  </si>
  <si>
    <t xml:space="preserve">      3290000 Other Restricted Revenues</t>
  </si>
  <si>
    <t xml:space="preserve">   Total 3000 Revenue From State Sources</t>
  </si>
  <si>
    <t xml:space="preserve">   4000 Revenue From Federal Source</t>
  </si>
  <si>
    <t xml:space="preserve">      4515000 School Food Service</t>
  </si>
  <si>
    <t xml:space="preserve">      4541000 Title I, Part A</t>
  </si>
  <si>
    <t xml:space="preserve">      4544000 Title IV, Part A</t>
  </si>
  <si>
    <t xml:space="preserve">      4590000 Other Restricted Grants through the State</t>
  </si>
  <si>
    <t xml:space="preserve">   Total 4000 Revenue From Federal Source</t>
  </si>
  <si>
    <t>Total Income</t>
  </si>
  <si>
    <t xml:space="preserve">   1000000 Salaries - Regular Employee</t>
  </si>
  <si>
    <t xml:space="preserve">      1112190 Pupil Coordinator</t>
  </si>
  <si>
    <t xml:space="preserve">      1112400 Other School Administrators-School Admin</t>
  </si>
  <si>
    <t xml:space="preserve">      1112410 Principals-Office of the Principal Svcs</t>
  </si>
  <si>
    <t xml:space="preserve">      1112430 CEO-School Chief Executive Officer Svcs</t>
  </si>
  <si>
    <t xml:space="preserve">      1121110 Elementary Teachers-Elementary</t>
  </si>
  <si>
    <t xml:space="preserve">      1121210 Teachers-Special Education</t>
  </si>
  <si>
    <t xml:space="preserve">      1132122 Social Workers-Counseling Svcs</t>
  </si>
  <si>
    <t xml:space="preserve">      1132220 Curriculum Specialist</t>
  </si>
  <si>
    <t xml:space="preserve">      1142400 Secretarial-School Admin</t>
  </si>
  <si>
    <t xml:space="preserve">      1162620 Custodial / Maintenance</t>
  </si>
  <si>
    <t xml:space="preserve">   Total 1000000 Salaries - Regular Employee</t>
  </si>
  <si>
    <t xml:space="preserve">   2000000 Benefits</t>
  </si>
  <si>
    <t xml:space="preserve">      2100000 Group Insurance</t>
  </si>
  <si>
    <t xml:space="preserve">         2101100 Group Ins - Instructional</t>
  </si>
  <si>
    <t xml:space="preserve">         2101210 Group Ins - Special Education</t>
  </si>
  <si>
    <t xml:space="preserve">         2102120 Group Ins - Pupil Support Svcs</t>
  </si>
  <si>
    <t xml:space="preserve">         2102190 Group Ins - Pupil Coordinator</t>
  </si>
  <si>
    <t xml:space="preserve">         2102220 Group Ins - Instruction Dev Svcs</t>
  </si>
  <si>
    <t xml:space="preserve">         2102400 Group Ins - School Admin</t>
  </si>
  <si>
    <t xml:space="preserve">         2102690 Group Ins - Maintenance and Ops</t>
  </si>
  <si>
    <t xml:space="preserve">      Total 2100000 Group Insurance</t>
  </si>
  <si>
    <t xml:space="preserve">      220000 Social Security</t>
  </si>
  <si>
    <t xml:space="preserve">         2201100 SS - Instructional</t>
  </si>
  <si>
    <t xml:space="preserve">         2201210 SS - Special Education</t>
  </si>
  <si>
    <t xml:space="preserve">         2202120 SS - Pupil Support Svcs</t>
  </si>
  <si>
    <t xml:space="preserve">         2202190 SS - Pupil Coordinator</t>
  </si>
  <si>
    <t xml:space="preserve">         2202220 SS - Instruction Dev Svcs</t>
  </si>
  <si>
    <t xml:space="preserve">         2202400 SS - School Admin</t>
  </si>
  <si>
    <t xml:space="preserve">         2202690 SS - Maintenance and Ops</t>
  </si>
  <si>
    <t xml:space="preserve">      Total 220000 Social Security</t>
  </si>
  <si>
    <t xml:space="preserve">      2250000 Medicare</t>
  </si>
  <si>
    <t xml:space="preserve">         2251100 Medicare - Instructional</t>
  </si>
  <si>
    <t xml:space="preserve">         2251210 Medicare - Special Education</t>
  </si>
  <si>
    <t xml:space="preserve">         2252120 Medicare - Pupil Support Svcs</t>
  </si>
  <si>
    <t xml:space="preserve">         2252190 Medicare - Pupil Coordinator</t>
  </si>
  <si>
    <t xml:space="preserve">         2252220 Medicare - Instruction Dev Svcs</t>
  </si>
  <si>
    <t xml:space="preserve">         2252400 Medicare - School Admin</t>
  </si>
  <si>
    <t xml:space="preserve">         2252690 Medicare - Maintenance</t>
  </si>
  <si>
    <t xml:space="preserve">      Total 2250000 Medicare</t>
  </si>
  <si>
    <t xml:space="preserve">      2390000 Other Retirement</t>
  </si>
  <si>
    <t xml:space="preserve">         2391100 Other Retirement - Instructional</t>
  </si>
  <si>
    <t xml:space="preserve">         2392120 Other Retirement - Pupil Support Svcs</t>
  </si>
  <si>
    <t xml:space="preserve">         2392220 Other Retirement - Instruction Dev Svcs</t>
  </si>
  <si>
    <t xml:space="preserve">         2392400 Other Retirement - School Admin</t>
  </si>
  <si>
    <t xml:space="preserve">      Total 2390000 Other Retirement</t>
  </si>
  <si>
    <t xml:space="preserve">      2500000 SUI</t>
  </si>
  <si>
    <t xml:space="preserve">         2501100 SUI - Instructional</t>
  </si>
  <si>
    <t xml:space="preserve">         2501210 SUI - Special Education</t>
  </si>
  <si>
    <t xml:space="preserve">         2502120 SUI - Pupil Support Svcs</t>
  </si>
  <si>
    <t xml:space="preserve">         2502190 SUI - Pupil Coordinator</t>
  </si>
  <si>
    <t xml:space="preserve">         2502220 SUI - Instruction Dev Svcs</t>
  </si>
  <si>
    <t xml:space="preserve">         2502400 SUI - School Admin</t>
  </si>
  <si>
    <t xml:space="preserve">         2502690 SUI - Maintenance and Ops</t>
  </si>
  <si>
    <t xml:space="preserve">      Total 2500000 SUI</t>
  </si>
  <si>
    <t xml:space="preserve">         2601100 Workmens Comp - Instructional</t>
  </si>
  <si>
    <t xml:space="preserve">      Total 2600000 Workmens Comp</t>
  </si>
  <si>
    <t xml:space="preserve">      2900000 Other Benefits</t>
  </si>
  <si>
    <t xml:space="preserve">         2901100 Other Benefits - Instructional</t>
  </si>
  <si>
    <t xml:space="preserve">      Total 2900000 Other Benefits</t>
  </si>
  <si>
    <t xml:space="preserve">   Total 2000000 Benefits</t>
  </si>
  <si>
    <t xml:space="preserve">   3000000 Professional Services</t>
  </si>
  <si>
    <t xml:space="preserve">      3001210 SPED</t>
  </si>
  <si>
    <t xml:space="preserve">      3002140 SPED Assessments</t>
  </si>
  <si>
    <t xml:space="preserve">      3002231 Professional Development</t>
  </si>
  <si>
    <t xml:space="preserve">      3002232 PD SPED</t>
  </si>
  <si>
    <t xml:space="preserve">      3002400 Profession Services other School Admin</t>
  </si>
  <si>
    <t xml:space="preserve">      3002510 Fiscal Services</t>
  </si>
  <si>
    <t xml:space="preserve">      3002660 Safety and Security</t>
  </si>
  <si>
    <t xml:space="preserve">      3002830 Human Resource Svcs</t>
  </si>
  <si>
    <t xml:space="preserve">      3322310 Legal Fees Board of Education Svcs</t>
  </si>
  <si>
    <t xml:space="preserve">      3332310 Audit Expenses</t>
  </si>
  <si>
    <t xml:space="preserve">      3392830 Purch Prof and Tech Svcs-Background Checks-Human Resource Svcs</t>
  </si>
  <si>
    <t xml:space="preserve">      3402510 Fiscal Svcs</t>
  </si>
  <si>
    <t xml:space="preserve">      3402840 Tech Services</t>
  </si>
  <si>
    <t xml:space="preserve">   Total 3000000 Professional Services</t>
  </si>
  <si>
    <t xml:space="preserve">   4000000 Purchased Property Service</t>
  </si>
  <si>
    <t xml:space="preserve">      4002310 Other Purchased Property Services</t>
  </si>
  <si>
    <t xml:space="preserve">      4002660 Purch Prop Svcs - Security Systems</t>
  </si>
  <si>
    <t xml:space="preserve">      4112620 Water and Sewage-Operation and Maintenance of Buildings</t>
  </si>
  <si>
    <t xml:space="preserve">      4212620 Disposal Svcs-Operation and Maintenance of Buildings</t>
  </si>
  <si>
    <t xml:space="preserve">      4232620 Custodial Svcs-Operation and Maintenance of Buildings</t>
  </si>
  <si>
    <t xml:space="preserve">      4242630 Lawn Care-Care and Upkeep of Grounds</t>
  </si>
  <si>
    <t xml:space="preserve">      4302620 Repairs and Maint Svcs-Operation and Maintenance of Buildings</t>
  </si>
  <si>
    <t xml:space="preserve">      4303100 Food Service Repairs and Main</t>
  </si>
  <si>
    <t xml:space="preserve">      4412620 Renting Land and Bldgs-Operation and Maintenance of Buildings</t>
  </si>
  <si>
    <t xml:space="preserve">   Total 4000000 Purchased Property Service</t>
  </si>
  <si>
    <t xml:space="preserve">   5000000 Other Purchased Services</t>
  </si>
  <si>
    <t xml:space="preserve">      5002720 Transportation</t>
  </si>
  <si>
    <t xml:space="preserve">      5212310 Liability and Other Insurance</t>
  </si>
  <si>
    <t xml:space="preserve">      5301100 Communication</t>
  </si>
  <si>
    <t xml:space="preserve">      5302400 Communications-School Admin</t>
  </si>
  <si>
    <t xml:space="preserve">      5703100 Mgmt-Food Svcs Operations</t>
  </si>
  <si>
    <t xml:space="preserve">      5822400 Other Purch Svcs-Travel-School Admin</t>
  </si>
  <si>
    <t xml:space="preserve">   Total 5000000 Other Purchased Services</t>
  </si>
  <si>
    <t xml:space="preserve">      6101100 Instructional Supplies</t>
  </si>
  <si>
    <t xml:space="preserve">      6101210 Special Education</t>
  </si>
  <si>
    <t xml:space="preserve">      6102211 Improvement Instructional Staff</t>
  </si>
  <si>
    <t xml:space="preserve">      6102400 Supplies--School Admin</t>
  </si>
  <si>
    <t xml:space="preserve">      6102620 Operation and Maintenance of Buildings</t>
  </si>
  <si>
    <t xml:space="preserve">      6151100 Tech-Regular Programs</t>
  </si>
  <si>
    <t xml:space="preserve">      6152400 Tech-School Admin</t>
  </si>
  <si>
    <t xml:space="preserve">      6222620 Electricity-Operation and Maintenance of Buildings</t>
  </si>
  <si>
    <t xml:space="preserve">      6421100 Textbooks / Workbooks</t>
  </si>
  <si>
    <t xml:space="preserve">   8000000 Other Objects</t>
  </si>
  <si>
    <t xml:space="preserve">      8002400 Misc--School Admin</t>
  </si>
  <si>
    <t xml:space="preserve">      8102400 Misc-Dues and Fees-School Admin</t>
  </si>
  <si>
    <t xml:space="preserve">   Total 8000000 Other Objects</t>
  </si>
  <si>
    <t xml:space="preserve">   9000000 Other Use of Funds</t>
  </si>
  <si>
    <t xml:space="preserve">      9335200 Indirect Cost</t>
  </si>
  <si>
    <t xml:space="preserve">   Total 9000000 Other Use of Funds</t>
  </si>
  <si>
    <t>Total Expenses</t>
  </si>
  <si>
    <t>Net Operating Income</t>
  </si>
  <si>
    <t>Net Income</t>
  </si>
  <si>
    <t>SR Fund Balancing</t>
  </si>
  <si>
    <t>Entity Level</t>
  </si>
  <si>
    <t>Report Check</t>
  </si>
  <si>
    <t>Actual
2023-24</t>
  </si>
  <si>
    <t>Budget 
2024-25</t>
  </si>
  <si>
    <t>Actual 2023-24</t>
  </si>
  <si>
    <t>Budget 2024-25</t>
  </si>
  <si>
    <t>FISCAL YEAR 2024-2025
Annual Budget</t>
  </si>
  <si>
    <t>Other State Funds</t>
  </si>
  <si>
    <t>Form A Mapping</t>
  </si>
  <si>
    <t>Expense Function Pull</t>
  </si>
  <si>
    <t>2400</t>
  </si>
  <si>
    <t>1100</t>
  </si>
  <si>
    <t>3100</t>
  </si>
  <si>
    <t>Expense Function</t>
  </si>
  <si>
    <t>5200</t>
  </si>
  <si>
    <t>REFERENCE TABLE - EXPENDITURES</t>
  </si>
  <si>
    <t>Form A Mapping For Budget Columns</t>
  </si>
  <si>
    <t>General Fund</t>
  </si>
  <si>
    <t>Special Revenue Fund</t>
  </si>
  <si>
    <t>Form A Line</t>
  </si>
  <si>
    <t>afr code</t>
  </si>
  <si>
    <t xml:space="preserve">Function Rollup </t>
  </si>
  <si>
    <t>Total Salaries GF</t>
  </si>
  <si>
    <t>% of Total Salaries</t>
  </si>
  <si>
    <t>Total Salaries SR</t>
  </si>
  <si>
    <t>Benefits GF</t>
  </si>
  <si>
    <t>Benefits SR</t>
  </si>
  <si>
    <t>Salaries &amp; Benefits Total GF</t>
  </si>
  <si>
    <t>Salaries &amp; Benefits Total SR</t>
  </si>
  <si>
    <t>Budgeted
2024-2025</t>
  </si>
  <si>
    <t>SemiAnnual YTD (Q1 and Q2)
2024-25</t>
  </si>
  <si>
    <t>SemiAnnual YTD (Q3 and Q4)
2024-25</t>
  </si>
  <si>
    <t>0015900</t>
  </si>
  <si>
    <t>2004-2005</t>
  </si>
  <si>
    <t>0016800</t>
  </si>
  <si>
    <t>0017330</t>
  </si>
  <si>
    <t>0020850</t>
  </si>
  <si>
    <t>0022600</t>
  </si>
  <si>
    <t>0023050</t>
  </si>
  <si>
    <t>0028400</t>
  </si>
  <si>
    <t>0036800</t>
  </si>
  <si>
    <t>0038400</t>
  </si>
  <si>
    <t>0039500</t>
  </si>
  <si>
    <t>0041600</t>
  </si>
  <si>
    <t>0043100</t>
  </si>
  <si>
    <t>0044900</t>
  </si>
  <si>
    <t>0047000</t>
  </si>
  <si>
    <t>0048800</t>
  </si>
  <si>
    <t>0048995</t>
  </si>
  <si>
    <t>0049200</t>
  </si>
  <si>
    <t>0049960</t>
  </si>
  <si>
    <t>0050850</t>
  </si>
  <si>
    <t>0051180</t>
  </si>
  <si>
    <t>Check</t>
  </si>
  <si>
    <t>Total Expenditures</t>
  </si>
  <si>
    <t>Check From Annual Budget tab</t>
  </si>
  <si>
    <t>Total Revenue</t>
  </si>
  <si>
    <t>ANNUAL GENERAL FUND BUDGET - Form A</t>
  </si>
  <si>
    <t>FISCAL YEAR 2024-2025</t>
  </si>
  <si>
    <t>School District:</t>
  </si>
  <si>
    <t>Includes Special Fund Federal,</t>
  </si>
  <si>
    <t>Enter &gt;&gt;&gt;</t>
  </si>
  <si>
    <t>Federal ESSA and Other Special Funds</t>
  </si>
  <si>
    <t>GENERAL FUND BUDGET</t>
  </si>
  <si>
    <t>SPECIAL REVENUE FUNDS</t>
  </si>
  <si>
    <t>ITEM</t>
  </si>
  <si>
    <t>L.A.U.G.H.</t>
  </si>
  <si>
    <t xml:space="preserve"> AFR</t>
  </si>
  <si>
    <t>Source/Function</t>
  </si>
  <si>
    <t>Keypunch</t>
  </si>
  <si>
    <t>Code</t>
  </si>
  <si>
    <t>Revenues from Local Sources</t>
  </si>
  <si>
    <t>1000</t>
  </si>
  <si>
    <t>0004000</t>
  </si>
  <si>
    <t>Revenues from State Sources (Other than MFP)</t>
  </si>
  <si>
    <t>3000</t>
  </si>
  <si>
    <t>0008300</t>
  </si>
  <si>
    <t>Revenues from MFP (Exclude School Lunch)</t>
  </si>
  <si>
    <t>0004300</t>
  </si>
  <si>
    <t>Revenues from MFP (School Lunch Fund)</t>
  </si>
  <si>
    <t>0004450</t>
  </si>
  <si>
    <t>Revenues from Federal Sources</t>
  </si>
  <si>
    <t>4000</t>
  </si>
  <si>
    <t>0014900</t>
  </si>
  <si>
    <t>Total Revenues</t>
  </si>
  <si>
    <t>0015000</t>
  </si>
  <si>
    <t>Other Sources of Funds</t>
  </si>
  <si>
    <t>5000</t>
  </si>
  <si>
    <t>0051000</t>
  </si>
  <si>
    <t>TOTAL REVENUES AND OTHER SOURCES OF FUNDS</t>
  </si>
  <si>
    <t>none</t>
  </si>
  <si>
    <t>Instruction:</t>
  </si>
  <si>
    <t>Regular Programs - Elementary/Secondary</t>
  </si>
  <si>
    <t>Special Education Programs</t>
  </si>
  <si>
    <t>1200</t>
  </si>
  <si>
    <t>Career and Technical Educational Programs</t>
  </si>
  <si>
    <t>1300</t>
  </si>
  <si>
    <t>Other Instructional Programs - Elementary/Secondary</t>
  </si>
  <si>
    <t>1400</t>
  </si>
  <si>
    <t>Special Programs</t>
  </si>
  <si>
    <t>1500</t>
  </si>
  <si>
    <t>Adult/Continuing Education Programs</t>
  </si>
  <si>
    <t>1600</t>
  </si>
  <si>
    <t>Total Instruction</t>
  </si>
  <si>
    <t>0024190</t>
  </si>
  <si>
    <t>Support Services Programs:</t>
  </si>
  <si>
    <t>Pupil Support Services</t>
  </si>
  <si>
    <t>2100</t>
  </si>
  <si>
    <t>Instructional Staff Services</t>
  </si>
  <si>
    <t>2200</t>
  </si>
  <si>
    <t>General Administration</t>
  </si>
  <si>
    <t>2300</t>
  </si>
  <si>
    <t>School Administration</t>
  </si>
  <si>
    <t>Business Services</t>
  </si>
  <si>
    <t>2500</t>
  </si>
  <si>
    <t>Operation &amp; Maintenance of Plant Services</t>
  </si>
  <si>
    <t>2600</t>
  </si>
  <si>
    <t>Student Transportation Services</t>
  </si>
  <si>
    <t>2700</t>
  </si>
  <si>
    <t>Central Services</t>
  </si>
  <si>
    <t>2800</t>
  </si>
  <si>
    <t>Total Support Services</t>
  </si>
  <si>
    <t>0047900</t>
  </si>
  <si>
    <t>Operation of Non-Instructional Services:</t>
  </si>
  <si>
    <t>Food Service Operations</t>
  </si>
  <si>
    <t>Enterprise Operations</t>
  </si>
  <si>
    <t>3200</t>
  </si>
  <si>
    <t>Community Service Operations</t>
  </si>
  <si>
    <t>3300</t>
  </si>
  <si>
    <t>Total Operation of Non-Instructional Services</t>
  </si>
  <si>
    <t>0049250</t>
  </si>
  <si>
    <t>Facility Acquisition &amp; Construction Services</t>
  </si>
  <si>
    <t>Debt Services</t>
  </si>
  <si>
    <t>5100</t>
  </si>
  <si>
    <t>0050900</t>
  </si>
  <si>
    <t>Other Uses of Funds</t>
  </si>
  <si>
    <t>TOTAL EXPENDITURES AND OTHER USES OF FUNDS</t>
  </si>
  <si>
    <t>Excess (Deficiency) of Revenues and Other Sources</t>
  </si>
  <si>
    <t xml:space="preserve">Over Expenditures and Other Uses  </t>
  </si>
  <si>
    <t>auto-calculated</t>
  </si>
  <si>
    <t>0051190</t>
  </si>
  <si>
    <t>Residual Equity Transfer In</t>
  </si>
  <si>
    <t>0051192</t>
  </si>
  <si>
    <t>Residual Equity Transfer Out**</t>
  </si>
  <si>
    <t>0051193</t>
  </si>
  <si>
    <t>Prior Year Adjustment</t>
  </si>
  <si>
    <t>0051194</t>
  </si>
  <si>
    <t>Balances at Beginning of Year</t>
  </si>
  <si>
    <t>0051195</t>
  </si>
  <si>
    <t xml:space="preserve">Balances at End of Year       </t>
  </si>
  <si>
    <t>0051196</t>
  </si>
  <si>
    <t>** Enter a negative number for Transfers Out</t>
  </si>
  <si>
    <t>Totals (exc Benefits) 
General Fund</t>
  </si>
  <si>
    <t>Totals (exc Benefits) 
Special Revenue</t>
  </si>
  <si>
    <t>Dalton</t>
  </si>
  <si>
    <t>ESSER III Inc</t>
  </si>
  <si>
    <t>Redesign 1003a</t>
  </si>
  <si>
    <t>Total Dalton</t>
  </si>
  <si>
    <t xml:space="preserve">      1910000 Rental Income</t>
  </si>
  <si>
    <t xml:space="preserve">      4340000 Headstart Program</t>
  </si>
  <si>
    <t xml:space="preserve">      4559000 Other ESSA Programs</t>
  </si>
  <si>
    <t xml:space="preserve">      1132152 Speech</t>
  </si>
  <si>
    <t xml:space="preserve">         2202150 SS - Speech</t>
  </si>
  <si>
    <t xml:space="preserve">         2252150 Medicare - Speech</t>
  </si>
  <si>
    <t xml:space="preserve">         2502150 SUI - Speech</t>
  </si>
  <si>
    <t xml:space="preserve">      3002160 Occupational Therapy and Related Svcs</t>
  </si>
  <si>
    <t xml:space="preserve">      6152220 Tech-Instruction Dev Svcs</t>
  </si>
  <si>
    <t>Redesign Dalton</t>
  </si>
  <si>
    <t>Fund Balance Reserves</t>
  </si>
  <si>
    <t>FUND BALANCE RESERVES</t>
  </si>
  <si>
    <t>2012-2013 Annual Financial Report (AFR) With Formulas</t>
  </si>
  <si>
    <t>KEY PUNCH CODE</t>
  </si>
  <si>
    <t xml:space="preserve">OBJECT </t>
  </si>
  <si>
    <t>FUNCTION</t>
  </si>
  <si>
    <t>LDOE QFR Budget Line</t>
  </si>
  <si>
    <t>NOLA PS QFR Budget Line</t>
  </si>
  <si>
    <t>NOLAPS Cash Flow</t>
  </si>
  <si>
    <t>Form A</t>
  </si>
  <si>
    <t>MOE Impact</t>
  </si>
  <si>
    <t>Millage Report</t>
  </si>
  <si>
    <t>Intructional %</t>
  </si>
  <si>
    <t>ACT 370 Function</t>
  </si>
  <si>
    <t>Act 370 Object</t>
  </si>
  <si>
    <t>SECTION A. REVENUES</t>
  </si>
  <si>
    <t>I.</t>
  </si>
  <si>
    <t>Taxation</t>
  </si>
  <si>
    <t>a.</t>
  </si>
  <si>
    <t>Ad Valorem Taxes - Gross</t>
  </si>
  <si>
    <t>(1) Constitutional Tax</t>
  </si>
  <si>
    <t>0000300</t>
  </si>
  <si>
    <t>No</t>
  </si>
  <si>
    <t>(2) Renewable Taxes</t>
  </si>
  <si>
    <t>0000350</t>
  </si>
  <si>
    <t>(3) Debt Service Taxes</t>
  </si>
  <si>
    <t>0000400</t>
  </si>
  <si>
    <t>(4) Up to 1% Collections by Sheriff on</t>
  </si>
  <si>
    <t>Taxes Other than School Taxes</t>
  </si>
  <si>
    <t>0000450</t>
  </si>
  <si>
    <t>(5) Result of Court-Ordered Settlement</t>
  </si>
  <si>
    <t>0000500</t>
  </si>
  <si>
    <t>(6) Penalties/Interest on Property Taxes</t>
  </si>
  <si>
    <t>0000550</t>
  </si>
  <si>
    <t>(7) Taxes Collected Due to</t>
  </si>
  <si>
    <t>Tax Incremental Financing (TIF)</t>
  </si>
  <si>
    <t>0000650</t>
  </si>
  <si>
    <t>b.</t>
  </si>
  <si>
    <t>Sales and Use Taxes</t>
  </si>
  <si>
    <t>(1) Sales and Use Taxes</t>
  </si>
  <si>
    <t>0000750</t>
  </si>
  <si>
    <t>(2) Sales/Use Taxes - Court Settlement</t>
  </si>
  <si>
    <t>0000800</t>
  </si>
  <si>
    <t>(3) Penalties/Interest on Sales/Use Taxes</t>
  </si>
  <si>
    <t>0000850</t>
  </si>
  <si>
    <t>(4) Sales/Use Taxes Collected Due to</t>
  </si>
  <si>
    <t>0000900</t>
  </si>
  <si>
    <t>Revenue From Local Governmental</t>
  </si>
  <si>
    <t>Units Other Than LEA's</t>
  </si>
  <si>
    <t>0001000</t>
  </si>
  <si>
    <t>Tuition</t>
  </si>
  <si>
    <t>From Individuals</t>
  </si>
  <si>
    <t>(1) Excluding Summer School</t>
  </si>
  <si>
    <t>0001150</t>
  </si>
  <si>
    <t>(2) For Summer School</t>
  </si>
  <si>
    <t>0001200</t>
  </si>
  <si>
    <t>From Other LEA's</t>
  </si>
  <si>
    <t>(1) Within The State</t>
  </si>
  <si>
    <t>0001300</t>
  </si>
  <si>
    <t>(2) Outside The State</t>
  </si>
  <si>
    <t>0001350</t>
  </si>
  <si>
    <t>c.</t>
  </si>
  <si>
    <t>From Other Government Sources</t>
  </si>
  <si>
    <t>0001450</t>
  </si>
  <si>
    <t>0001500</t>
  </si>
  <si>
    <t>d.</t>
  </si>
  <si>
    <t>From Other Sources</t>
  </si>
  <si>
    <t>0001550</t>
  </si>
  <si>
    <t>Transportation Fees</t>
  </si>
  <si>
    <t>0001650</t>
  </si>
  <si>
    <t>From Other LEA's/Charter Schools</t>
  </si>
  <si>
    <t>0001750</t>
  </si>
  <si>
    <t>0001800</t>
  </si>
  <si>
    <t>0001900</t>
  </si>
  <si>
    <t>0001950</t>
  </si>
  <si>
    <t>0002000</t>
  </si>
  <si>
    <t>Interest on Investments</t>
  </si>
  <si>
    <t>0002100</t>
  </si>
  <si>
    <t>Net Change in Fair Value of Investments</t>
  </si>
  <si>
    <t>0002150</t>
  </si>
  <si>
    <t>Earnings on Investment in Real Property</t>
  </si>
  <si>
    <t>(1) Earnings from 16th Section Property</t>
  </si>
  <si>
    <t>0002250</t>
  </si>
  <si>
    <t>(2) Earnings from Other Real Property</t>
  </si>
  <si>
    <t>0002300</t>
  </si>
  <si>
    <t>Income from Meals</t>
  </si>
  <si>
    <t>0002400</t>
  </si>
  <si>
    <t>Income from Extra Sales</t>
  </si>
  <si>
    <t>0002450</t>
  </si>
  <si>
    <t>Revenue From District Activities</t>
  </si>
  <si>
    <t>Revenue From Enterprise Activities</t>
  </si>
  <si>
    <t>0002550</t>
  </si>
  <si>
    <t>Revenue from Student Activities</t>
  </si>
  <si>
    <t>0002560</t>
  </si>
  <si>
    <t>Revenue Excluding Enterprise Activities</t>
  </si>
  <si>
    <t>0002600</t>
  </si>
  <si>
    <t>Revenue From Community Service Activities</t>
  </si>
  <si>
    <t>0002650</t>
  </si>
  <si>
    <t>Other Revenue From Local Sources</t>
  </si>
  <si>
    <t>Rentals</t>
  </si>
  <si>
    <t>0002750</t>
  </si>
  <si>
    <t>0002800</t>
  </si>
  <si>
    <t>Restricted Donations</t>
  </si>
  <si>
    <t xml:space="preserve">MANUAL ED OPS </t>
  </si>
  <si>
    <t>Unrestricted donations</t>
  </si>
  <si>
    <t>Fundraising Events</t>
  </si>
  <si>
    <t>Gains/Losses on Sale of Capital Assets</t>
  </si>
  <si>
    <t>0002850</t>
  </si>
  <si>
    <t>Revenues from Judgements / Court Orders</t>
  </si>
  <si>
    <t>0002900</t>
  </si>
  <si>
    <t>e.</t>
  </si>
  <si>
    <t>Textbook Sales and Rentals</t>
  </si>
  <si>
    <t>0002950</t>
  </si>
  <si>
    <t>f.</t>
  </si>
  <si>
    <t>Misc. Revenue from Other LEAs</t>
  </si>
  <si>
    <t>0003000</t>
  </si>
  <si>
    <t>g.</t>
  </si>
  <si>
    <t>Services Provided Other Local Government</t>
  </si>
  <si>
    <t>0003050</t>
  </si>
  <si>
    <t>h.</t>
  </si>
  <si>
    <t>Misc. Revenue from Local Governments</t>
  </si>
  <si>
    <t>0003100</t>
  </si>
  <si>
    <t>i.</t>
  </si>
  <si>
    <t>Miscellaneous Revenues</t>
  </si>
  <si>
    <t>(1) Medicaid Reimbursement</t>
  </si>
  <si>
    <t>0003200</t>
  </si>
  <si>
    <t>(2) Kid Med</t>
  </si>
  <si>
    <t>0003250</t>
  </si>
  <si>
    <t>(3) Refund Of PY Expend. (E-Rate, etc.)</t>
  </si>
  <si>
    <t>0003300</t>
  </si>
  <si>
    <t>(4) Local Revenue Trans. From Other LEA</t>
  </si>
  <si>
    <t>0003350</t>
  </si>
  <si>
    <t>(5) Other Miscellaneous Revenues</t>
  </si>
  <si>
    <t>0003400</t>
  </si>
  <si>
    <t>Uncategorized Revenue</t>
  </si>
  <si>
    <t>Other Income</t>
  </si>
  <si>
    <t>MANUAL ED OPS - EQA</t>
  </si>
  <si>
    <t>NOLA PS Student Needs Fund</t>
  </si>
  <si>
    <t>Expulsion Fee Revenue</t>
  </si>
  <si>
    <t>TOTAL I. REVENUES FROM LOCAL SOURCES</t>
  </si>
  <si>
    <t>II.</t>
  </si>
  <si>
    <t>State Unrestricted Grants-In-Aid</t>
  </si>
  <si>
    <t>State Public School Fund (MFP)-exc. Sch. Lunch</t>
  </si>
  <si>
    <t>State Public School Fund (MFP) - Sch. Lunch</t>
  </si>
  <si>
    <t>16th Section Land Fund Interest</t>
  </si>
  <si>
    <t>0004600</t>
  </si>
  <si>
    <t>0004750</t>
  </si>
  <si>
    <t>State Restricted Grants-In-Aid</t>
  </si>
  <si>
    <t>Special Education (excluding MFP)</t>
  </si>
  <si>
    <t>0005050</t>
  </si>
  <si>
    <t>0005200</t>
  </si>
  <si>
    <t>16th Section Land Funds (Withdrawals)</t>
  </si>
  <si>
    <t>0005350</t>
  </si>
  <si>
    <t>Adult Education</t>
  </si>
  <si>
    <t>0005500</t>
  </si>
  <si>
    <t>0005650</t>
  </si>
  <si>
    <t>LA-4</t>
  </si>
  <si>
    <t>0005800</t>
  </si>
  <si>
    <t>Non-Public Transportation</t>
  </si>
  <si>
    <t>0005950</t>
  </si>
  <si>
    <t>Non-Public Textbook</t>
  </si>
  <si>
    <t>0006100</t>
  </si>
  <si>
    <t>Other Restricted Revenues</t>
  </si>
  <si>
    <t>0006250</t>
  </si>
  <si>
    <t>State Revenue in Lieu of Taxes</t>
  </si>
  <si>
    <t>Revenue Sharing</t>
  </si>
  <si>
    <t>0006700</t>
  </si>
  <si>
    <t>(2) Other Taxes</t>
  </si>
  <si>
    <t>0006850</t>
  </si>
  <si>
    <t>(3) Excess Portion</t>
  </si>
  <si>
    <t>0007000</t>
  </si>
  <si>
    <t>Other Revenue in Lieu of Taxes</t>
  </si>
  <si>
    <t>0007150</t>
  </si>
  <si>
    <t>State Revenue For/On Behalf of LEA</t>
  </si>
  <si>
    <t>Employer's Contribution to Teachers</t>
  </si>
  <si>
    <t>Retirement (PIP)</t>
  </si>
  <si>
    <t>0007600</t>
  </si>
  <si>
    <t>Other Revenue For/On Behalf of LEA</t>
  </si>
  <si>
    <t>0007750</t>
  </si>
  <si>
    <t>TOTAL II. REVENUE FROM STATE SOURCES</t>
  </si>
  <si>
    <t>III.</t>
  </si>
  <si>
    <t>Federal Unrestricted Grants-In-Aid Direct</t>
  </si>
  <si>
    <t>From the Federal Government</t>
  </si>
  <si>
    <t>Impact Aid Fund</t>
  </si>
  <si>
    <t>0008600</t>
  </si>
  <si>
    <t>0008700</t>
  </si>
  <si>
    <t>Federal Unrestricted Grants-In Aid From The</t>
  </si>
  <si>
    <t>Federal Government Through the State</t>
  </si>
  <si>
    <t>0008900</t>
  </si>
  <si>
    <t>Federal Restricted Grants-In-Aid Direct</t>
  </si>
  <si>
    <t>Federally Affected Areas</t>
  </si>
  <si>
    <t>0009200</t>
  </si>
  <si>
    <t>JROTC</t>
  </si>
  <si>
    <t>0009300</t>
  </si>
  <si>
    <t>Headstart Program</t>
  </si>
  <si>
    <t>0009400</t>
  </si>
  <si>
    <t>0009500</t>
  </si>
  <si>
    <t>Federal Restricted Grants-In-Aid From The</t>
  </si>
  <si>
    <t>Carl Perkins - Secondary</t>
  </si>
  <si>
    <t>0009800</t>
  </si>
  <si>
    <t>0009900</t>
  </si>
  <si>
    <t>Adult Basic Education</t>
  </si>
  <si>
    <t>0010000</t>
  </si>
  <si>
    <t>(1) IDEA - Part B 611</t>
  </si>
  <si>
    <t>0010200</t>
  </si>
  <si>
    <t>(2) IDEA - Preschool 619</t>
  </si>
  <si>
    <t>0010300</t>
  </si>
  <si>
    <t>(3) Part C - Infant/Toddler</t>
  </si>
  <si>
    <t>0010400</t>
  </si>
  <si>
    <t>(4) Other Special Education Programs</t>
  </si>
  <si>
    <t>0010500</t>
  </si>
  <si>
    <t>Federal Every Student Succeeds Act (ESSA)</t>
  </si>
  <si>
    <t>(1) ESSA/NCLB - Title I, Part A, Improving Basic Programs</t>
  </si>
  <si>
    <t>0010700</t>
  </si>
  <si>
    <t>(2) ESSA/NCLB - Title I - Part C - Migrant</t>
  </si>
  <si>
    <t>0010800</t>
  </si>
  <si>
    <t>(3) ESSA/NCLB - Title IV - A - Student Support and Aca. Enr.</t>
  </si>
  <si>
    <t>0010900</t>
  </si>
  <si>
    <t>(4) ESSA/NCLB - Title II - A - Supporting Effective Instruction</t>
  </si>
  <si>
    <t>0011000</t>
  </si>
  <si>
    <t>(5) ESSA/NCLB - Title III - A - English Language Acq.</t>
  </si>
  <si>
    <t>0011100</t>
  </si>
  <si>
    <t>(6) ESSA/NCLB - Title IV - B - 21st CCLC</t>
  </si>
  <si>
    <t>0011200</t>
  </si>
  <si>
    <t>(7) ESSA - Title V, Part B, Rural and Low-Inc</t>
  </si>
  <si>
    <t>0011300</t>
  </si>
  <si>
    <t>(8) ESSA/NCLB - Title I - Part A - School Improvement</t>
  </si>
  <si>
    <t>0011400</t>
  </si>
  <si>
    <t>(9) NCLB - Title II - Part D - Technology</t>
  </si>
  <si>
    <t>0011500</t>
  </si>
  <si>
    <t>(10) ESSA -Title 1 1003A Direct Student Svc.</t>
  </si>
  <si>
    <t>0011501</t>
  </si>
  <si>
    <t>(11) ESSA - Title IX - Homeless Education</t>
  </si>
  <si>
    <t>0011502</t>
  </si>
  <si>
    <t>(12) Other ESSA Programs</t>
  </si>
  <si>
    <t>0011600</t>
  </si>
  <si>
    <t>Job Training Partnership Act (JTPA)</t>
  </si>
  <si>
    <t>0011700</t>
  </si>
  <si>
    <t>Temp. Assistance - Needy Families (TANF)</t>
  </si>
  <si>
    <t>0011800</t>
  </si>
  <si>
    <t>FEMA - Disaster Relief</t>
  </si>
  <si>
    <t>0011900</t>
  </si>
  <si>
    <t>Other Restricted Grants through State</t>
  </si>
  <si>
    <t>0012000</t>
  </si>
  <si>
    <t>Federal Revenue in Lieu of Taxes</t>
  </si>
  <si>
    <t>Loss of Taxes - Federal Housing Projects</t>
  </si>
  <si>
    <t>0012200</t>
  </si>
  <si>
    <t>Sale of Timber, etc.- Fed. Forest Reserve</t>
  </si>
  <si>
    <t>0012300</t>
  </si>
  <si>
    <t>0012400</t>
  </si>
  <si>
    <t>Federal Revenue For/On Behalf of the LEA</t>
  </si>
  <si>
    <t>Non-Food Assistance</t>
  </si>
  <si>
    <t>0012600</t>
  </si>
  <si>
    <t>Value of USDA Commodities</t>
  </si>
  <si>
    <t>0012700</t>
  </si>
  <si>
    <t>Other Revenues For/On Behalf of the LEA</t>
  </si>
  <si>
    <t>0012800</t>
  </si>
  <si>
    <t>TOTAL III. REVENUE FROM FEDERAL SOURCES</t>
  </si>
  <si>
    <t>TOTAL I-III. TOTAL REVENUE</t>
  </si>
  <si>
    <t>SECTION B. EXPENDITURES</t>
  </si>
  <si>
    <t>INSTRUCTION</t>
  </si>
  <si>
    <t>A.</t>
  </si>
  <si>
    <t>Kindergarten Teachers</t>
  </si>
  <si>
    <t>0015420</t>
  </si>
  <si>
    <t>C</t>
  </si>
  <si>
    <t>Y</t>
  </si>
  <si>
    <t>Instructional</t>
  </si>
  <si>
    <t>Elementary Teachers (grades 1 thru 8)</t>
  </si>
  <si>
    <t>0015430</t>
  </si>
  <si>
    <t>Secondary Teachers (grades 9 thru 12)</t>
  </si>
  <si>
    <t>0015440</t>
  </si>
  <si>
    <t>Aides</t>
  </si>
  <si>
    <t>0015450</t>
  </si>
  <si>
    <t>Substitute Teachers and Aides</t>
  </si>
  <si>
    <t>0015460</t>
  </si>
  <si>
    <t>Other Substitute/Temporary Employees</t>
  </si>
  <si>
    <t>0015470</t>
  </si>
  <si>
    <t>Other Instructional Salaries</t>
  </si>
  <si>
    <t>0015480</t>
  </si>
  <si>
    <t>Sabbatical Leave</t>
  </si>
  <si>
    <t>0015490</t>
  </si>
  <si>
    <t>Purchased Professional and Technical Services</t>
  </si>
  <si>
    <t>0015500</t>
  </si>
  <si>
    <t>Repairs and Maintenance Services</t>
  </si>
  <si>
    <t>0015515</t>
  </si>
  <si>
    <t>Rental of Equipment</t>
  </si>
  <si>
    <t>0015525</t>
  </si>
  <si>
    <t>Other Purchased Property Services</t>
  </si>
  <si>
    <t>0015535</t>
  </si>
  <si>
    <t>Tuition (see KPC 0020430 for others)</t>
  </si>
  <si>
    <t>(1) Paid to Other LEA (In-State)</t>
  </si>
  <si>
    <t>0015555</t>
  </si>
  <si>
    <t>Paid to Other LEA In-State</t>
  </si>
  <si>
    <t>(2) Paid to Other LEA (Out-of-State)</t>
  </si>
  <si>
    <t>0015565</t>
  </si>
  <si>
    <t>Paid to Other LEA Out-of-State</t>
  </si>
  <si>
    <t>(3) Paid to Private Sources</t>
  </si>
  <si>
    <t>0015575</t>
  </si>
  <si>
    <t>Paid to Private Sources</t>
  </si>
  <si>
    <t>Travel Expense Reimbursement</t>
  </si>
  <si>
    <t>0015585</t>
  </si>
  <si>
    <t>0015595</t>
  </si>
  <si>
    <t>Instructional Supplies</t>
  </si>
  <si>
    <t>Technology-Related Supplies</t>
  </si>
  <si>
    <t>0015610</t>
  </si>
  <si>
    <t>A</t>
  </si>
  <si>
    <t>Materials and Supplies (e.g., rpt. cards)</t>
  </si>
  <si>
    <t>0015620</t>
  </si>
  <si>
    <t>Textbooks/Workbooks</t>
  </si>
  <si>
    <t>0015630</t>
  </si>
  <si>
    <t>Other Supplies</t>
  </si>
  <si>
    <t>0015640</t>
  </si>
  <si>
    <t>Property/Equipment</t>
  </si>
  <si>
    <t>Technology-Related Hardware</t>
  </si>
  <si>
    <t>0015655</t>
  </si>
  <si>
    <t>Technology Software</t>
  </si>
  <si>
    <t>0015665</t>
  </si>
  <si>
    <t>All Other Equipment</t>
  </si>
  <si>
    <t>0015675</t>
  </si>
  <si>
    <t>Other Property</t>
  </si>
  <si>
    <t>0015685</t>
  </si>
  <si>
    <t>Miscellaneous Non-Public Expenditures</t>
  </si>
  <si>
    <t>0015700</t>
  </si>
  <si>
    <t>Other Miscellaneous Expenditures</t>
  </si>
  <si>
    <t>0015710</t>
  </si>
  <si>
    <t>Employee Benefits</t>
  </si>
  <si>
    <t>Group Insurance</t>
  </si>
  <si>
    <t>0015725</t>
  </si>
  <si>
    <t>FICA</t>
  </si>
  <si>
    <t>0015735</t>
  </si>
  <si>
    <t>0015745</t>
  </si>
  <si>
    <t>Employer's Contribution to</t>
  </si>
  <si>
    <t>(1) Louisiana Teachers Retirement</t>
  </si>
  <si>
    <t>0015760</t>
  </si>
  <si>
    <t>Louisiana Teachers Retirement</t>
  </si>
  <si>
    <t>(2) Louisiana School Employees Retirement</t>
  </si>
  <si>
    <t>0015770</t>
  </si>
  <si>
    <t>Louisiana School Employees Retirement</t>
  </si>
  <si>
    <t>(3) Other Retirement</t>
  </si>
  <si>
    <t>0015780</t>
  </si>
  <si>
    <t>Other Retirement</t>
  </si>
  <si>
    <t>Unemployment Compensation</t>
  </si>
  <si>
    <t>0015790</t>
  </si>
  <si>
    <t>Workmen's Compensation</t>
  </si>
  <si>
    <t>0015800</t>
  </si>
  <si>
    <t>Health Benefits (retirees)</t>
  </si>
  <si>
    <t>0015810</t>
  </si>
  <si>
    <t>Sick Leave Severance Pay</t>
  </si>
  <si>
    <t>0015820</t>
  </si>
  <si>
    <t>Annual Leave Severance Pay</t>
  </si>
  <si>
    <t>0015830</t>
  </si>
  <si>
    <t>j.</t>
  </si>
  <si>
    <t>Other Employee Benefits</t>
  </si>
  <si>
    <t>0015840</t>
  </si>
  <si>
    <t>TOTAL A. Regular Program Expenditures</t>
  </si>
  <si>
    <t>B.</t>
  </si>
  <si>
    <t>Special Eduction Programs - Special Needs</t>
  </si>
  <si>
    <t>(Including Summer and Pre-School Prog.)</t>
  </si>
  <si>
    <t>(1) Teachers</t>
  </si>
  <si>
    <t>0015930</t>
  </si>
  <si>
    <t>YES</t>
  </si>
  <si>
    <t>(2) Para-professionals (Aides)</t>
  </si>
  <si>
    <t>0015940</t>
  </si>
  <si>
    <t>Para-professionals (Aides)</t>
  </si>
  <si>
    <t>(3) Substitute Teachers</t>
  </si>
  <si>
    <t>0015950</t>
  </si>
  <si>
    <t>Substitute Teachers</t>
  </si>
  <si>
    <t>(4) Other Substitute/Temp. Employees</t>
  </si>
  <si>
    <t>0015960</t>
  </si>
  <si>
    <t>Other Substitute/Temp. Employees</t>
  </si>
  <si>
    <t>(5) Other Instructional Salaries</t>
  </si>
  <si>
    <t>0015970</t>
  </si>
  <si>
    <t>(6) Sabbatical Leave</t>
  </si>
  <si>
    <t>0015980</t>
  </si>
  <si>
    <t>Purchased Professional and Technical Svcs</t>
  </si>
  <si>
    <t>0015990</t>
  </si>
  <si>
    <t>(1) Repairs and Maintenance Services</t>
  </si>
  <si>
    <t>0016005</t>
  </si>
  <si>
    <t>(2) Rental of Equipment</t>
  </si>
  <si>
    <t>0016015</t>
  </si>
  <si>
    <t>(3) Other Purchased Property Services</t>
  </si>
  <si>
    <t>0016025</t>
  </si>
  <si>
    <t>(1) Tuition (see KPC 0020430 for others)</t>
  </si>
  <si>
    <t>(a) Paid to Other LEA (In-State)</t>
  </si>
  <si>
    <t>0016045</t>
  </si>
  <si>
    <t>(b) Paid to Other LEA (Out-of-State)</t>
  </si>
  <si>
    <t>0016055</t>
  </si>
  <si>
    <t>(c) Paid to Non-Public Schools - Vouchers</t>
  </si>
  <si>
    <t>0016065</t>
  </si>
  <si>
    <t>Paid to Non-Public Schools - Vouchers</t>
  </si>
  <si>
    <t>(d) Paid To Charter Schools - Vouchers</t>
  </si>
  <si>
    <t>0016068</t>
  </si>
  <si>
    <t>Paid To Charter Schools - Vouchers</t>
  </si>
  <si>
    <t>(e) Paid To School Districts - Vouchers</t>
  </si>
  <si>
    <t>0016070</t>
  </si>
  <si>
    <t>Paid To School Districts - Vouchers</t>
  </si>
  <si>
    <t>(2) Travel Expense Reimbursement</t>
  </si>
  <si>
    <t>0016075</t>
  </si>
  <si>
    <t>(3) Other Purchased Services</t>
  </si>
  <si>
    <t>0016085</t>
  </si>
  <si>
    <t>(1) Technology-Related Supplies</t>
  </si>
  <si>
    <t>0016100</t>
  </si>
  <si>
    <t>(2) Materials and Supplies</t>
  </si>
  <si>
    <t>0016110</t>
  </si>
  <si>
    <t>(3) Textbooks/Workbooks</t>
  </si>
  <si>
    <t>0016120</t>
  </si>
  <si>
    <t>(4) Other Supplies</t>
  </si>
  <si>
    <t>0016130</t>
  </si>
  <si>
    <t>(1) Technology-Related Hardware</t>
  </si>
  <si>
    <t>0016145</t>
  </si>
  <si>
    <t>(2) Technology Software</t>
  </si>
  <si>
    <t>0016155</t>
  </si>
  <si>
    <t>(3) All Other Equipment</t>
  </si>
  <si>
    <t>0016165</t>
  </si>
  <si>
    <t>(4) Other Property</t>
  </si>
  <si>
    <t>0016175</t>
  </si>
  <si>
    <t>(1) Miscellaneous Non-Public Expenditures</t>
  </si>
  <si>
    <t>0016190</t>
  </si>
  <si>
    <t>(2) Other Miscellaneous Expenditures</t>
  </si>
  <si>
    <t>0016200</t>
  </si>
  <si>
    <t>(1) Group Insurance</t>
  </si>
  <si>
    <t>0016215</t>
  </si>
  <si>
    <t>(2) FICA</t>
  </si>
  <si>
    <t>0016225</t>
  </si>
  <si>
    <t>(3) Medicare</t>
  </si>
  <si>
    <t>0016235</t>
  </si>
  <si>
    <t>(4) Employer's Contribution to</t>
  </si>
  <si>
    <t>(a) Louisiana Teachers Retirement</t>
  </si>
  <si>
    <t>0016250</t>
  </si>
  <si>
    <t>(b) Louisiana School Emp. Retirement</t>
  </si>
  <si>
    <t>0016260</t>
  </si>
  <si>
    <t>Louisiana School Emp. Retirement</t>
  </si>
  <si>
    <t>(c) Other Retirement</t>
  </si>
  <si>
    <t>0016270</t>
  </si>
  <si>
    <t>(5) Unemployment Compensation</t>
  </si>
  <si>
    <t>0016280</t>
  </si>
  <si>
    <t>(6) Workmen's Compensation</t>
  </si>
  <si>
    <t>0016290</t>
  </si>
  <si>
    <t>(7) Health Benefits (retirees)</t>
  </si>
  <si>
    <t>0016300</t>
  </si>
  <si>
    <t>(8) Sick Leave Severance Pay</t>
  </si>
  <si>
    <t>0016310</t>
  </si>
  <si>
    <t>(9) Annual Leave Severance Pay</t>
  </si>
  <si>
    <t>0016320</t>
  </si>
  <si>
    <t>(10) Other Employee Benefits</t>
  </si>
  <si>
    <t>0016330</t>
  </si>
  <si>
    <t>Gifted and Talented Programs</t>
  </si>
  <si>
    <t>0016350</t>
  </si>
  <si>
    <t>0016360</t>
  </si>
  <si>
    <t>0016370</t>
  </si>
  <si>
    <t>0016380</t>
  </si>
  <si>
    <t>0016390</t>
  </si>
  <si>
    <t>0016400</t>
  </si>
  <si>
    <t>0016410</t>
  </si>
  <si>
    <t>0016425</t>
  </si>
  <si>
    <t>0016435</t>
  </si>
  <si>
    <t>0016445</t>
  </si>
  <si>
    <t>(a) Paid to Other LEAs (In-State)</t>
  </si>
  <si>
    <t>0016465</t>
  </si>
  <si>
    <t>Paid to Other LEAs (In-State)</t>
  </si>
  <si>
    <t>0016475</t>
  </si>
  <si>
    <t>0016485</t>
  </si>
  <si>
    <t>0016488</t>
  </si>
  <si>
    <t>0016490</t>
  </si>
  <si>
    <t>0016495</t>
  </si>
  <si>
    <t>0016505</t>
  </si>
  <si>
    <t>0016520</t>
  </si>
  <si>
    <t>0016530</t>
  </si>
  <si>
    <t>0016540</t>
  </si>
  <si>
    <t>0016550</t>
  </si>
  <si>
    <t>0016565</t>
  </si>
  <si>
    <t>0016575</t>
  </si>
  <si>
    <t>0016585</t>
  </si>
  <si>
    <t>0016595</t>
  </si>
  <si>
    <t>0016610</t>
  </si>
  <si>
    <t>0016620</t>
  </si>
  <si>
    <t>0016635</t>
  </si>
  <si>
    <t>0016645</t>
  </si>
  <si>
    <t>0016655</t>
  </si>
  <si>
    <t>0016670</t>
  </si>
  <si>
    <t>0016680</t>
  </si>
  <si>
    <t>0016690</t>
  </si>
  <si>
    <t>0016700</t>
  </si>
  <si>
    <t>0016710</t>
  </si>
  <si>
    <t>0016720</t>
  </si>
  <si>
    <t>0016730</t>
  </si>
  <si>
    <t>0016740</t>
  </si>
  <si>
    <t>0016750</t>
  </si>
  <si>
    <t>TOTAL B. Special Education Expenditures</t>
  </si>
  <si>
    <t>C.</t>
  </si>
  <si>
    <t>Career and Technical Education Programs</t>
  </si>
  <si>
    <t>Agriculture Teachers</t>
  </si>
  <si>
    <t>0016820</t>
  </si>
  <si>
    <t>CTE Program</t>
  </si>
  <si>
    <t>Family &amp; Consumer Science Teachers</t>
  </si>
  <si>
    <t>0016830</t>
  </si>
  <si>
    <t>Trade &amp; Industry Program Teachers</t>
  </si>
  <si>
    <t>0016840</t>
  </si>
  <si>
    <t>Business &amp; Admin. Program Teachers</t>
  </si>
  <si>
    <t>0016850</t>
  </si>
  <si>
    <t>Health Science Program Teachers</t>
  </si>
  <si>
    <t>0016860</t>
  </si>
  <si>
    <t>Other Career/Tech. Ed. Program Teachers</t>
  </si>
  <si>
    <t>0016870</t>
  </si>
  <si>
    <t>0016880</t>
  </si>
  <si>
    <t>0016890</t>
  </si>
  <si>
    <t>0016900</t>
  </si>
  <si>
    <t>0016910</t>
  </si>
  <si>
    <t>k.</t>
  </si>
  <si>
    <t>0016920</t>
  </si>
  <si>
    <t>0016930</t>
  </si>
  <si>
    <t>0016945</t>
  </si>
  <si>
    <t>0016955</t>
  </si>
  <si>
    <t>0016965</t>
  </si>
  <si>
    <t>(1) Paid to Other LEAs (In-State)</t>
  </si>
  <si>
    <t>0016985</t>
  </si>
  <si>
    <t>(2) Paid to Other LEAs (Out-of-State)</t>
  </si>
  <si>
    <t>0016995</t>
  </si>
  <si>
    <t>Paid to Other LEAs (Out-of-State)</t>
  </si>
  <si>
    <t>0017005</t>
  </si>
  <si>
    <t>(4) Paid to Other Than LEAs (In-State)</t>
  </si>
  <si>
    <t>0017015</t>
  </si>
  <si>
    <t>Paid to Other Than LEAs (In-State)</t>
  </si>
  <si>
    <t>0017025</t>
  </si>
  <si>
    <t>0017035</t>
  </si>
  <si>
    <t>0017050</t>
  </si>
  <si>
    <t>Materials and Supplies (e.g., rpt cards)</t>
  </si>
  <si>
    <t>0017060</t>
  </si>
  <si>
    <t>0017070</t>
  </si>
  <si>
    <t>0017080</t>
  </si>
  <si>
    <t>0017095</t>
  </si>
  <si>
    <t>0017105</t>
  </si>
  <si>
    <t>0017115</t>
  </si>
  <si>
    <t>0017125</t>
  </si>
  <si>
    <t>0017140</t>
  </si>
  <si>
    <t>0017150</t>
  </si>
  <si>
    <t>0017165</t>
  </si>
  <si>
    <t>0017175</t>
  </si>
  <si>
    <t>0017185</t>
  </si>
  <si>
    <t>0017200</t>
  </si>
  <si>
    <t>0017210</t>
  </si>
  <si>
    <t>0017220</t>
  </si>
  <si>
    <t>0017230</t>
  </si>
  <si>
    <t>0017240</t>
  </si>
  <si>
    <t>0017250</t>
  </si>
  <si>
    <t>0017260</t>
  </si>
  <si>
    <t>0017270</t>
  </si>
  <si>
    <t>0017280</t>
  </si>
  <si>
    <t>TOTAL C. Career and Tech. Ed Prog. Expenditures</t>
  </si>
  <si>
    <t>D.</t>
  </si>
  <si>
    <t>Co-curricular Activities (1410)</t>
  </si>
  <si>
    <t>(1) Teacher (e.g. Band Dir, Debate Coach)</t>
  </si>
  <si>
    <t>0017355</t>
  </si>
  <si>
    <t>Co-curricular</t>
  </si>
  <si>
    <t>Teacher (e.g. Band Dir, Debate Coach)</t>
  </si>
  <si>
    <t>0017365</t>
  </si>
  <si>
    <t>0017375</t>
  </si>
  <si>
    <t>0017385</t>
  </si>
  <si>
    <t>0017395</t>
  </si>
  <si>
    <t>0017405</t>
  </si>
  <si>
    <t>0017415</t>
  </si>
  <si>
    <t>0017430</t>
  </si>
  <si>
    <t>0017440</t>
  </si>
  <si>
    <t>0017450</t>
  </si>
  <si>
    <t>0017470</t>
  </si>
  <si>
    <t>0017480</t>
  </si>
  <si>
    <t>(c) Paid to Private Sources</t>
  </si>
  <si>
    <t>0017490</t>
  </si>
  <si>
    <t>0017500</t>
  </si>
  <si>
    <t>0017510</t>
  </si>
  <si>
    <t>0017525</t>
  </si>
  <si>
    <t>0017535</t>
  </si>
  <si>
    <t>0017545</t>
  </si>
  <si>
    <t>0017555</t>
  </si>
  <si>
    <t>0017570</t>
  </si>
  <si>
    <t>0017580</t>
  </si>
  <si>
    <t>0017590</t>
  </si>
  <si>
    <t>0017600</t>
  </si>
  <si>
    <t>0017615</t>
  </si>
  <si>
    <t>0017625</t>
  </si>
  <si>
    <t>0017640</t>
  </si>
  <si>
    <t>0017650</t>
  </si>
  <si>
    <t>0017660</t>
  </si>
  <si>
    <t>0017675</t>
  </si>
  <si>
    <t>0017685</t>
  </si>
  <si>
    <t>0017695</t>
  </si>
  <si>
    <t>0017705</t>
  </si>
  <si>
    <t>0017715</t>
  </si>
  <si>
    <t>0017725</t>
  </si>
  <si>
    <t>0017735</t>
  </si>
  <si>
    <t>0017745</t>
  </si>
  <si>
    <t>0017755</t>
  </si>
  <si>
    <t>Athletics Programs (1420)</t>
  </si>
  <si>
    <t>(1) Teachers (e.g. Coaches, Dance Dir.)</t>
  </si>
  <si>
    <t>0017775</t>
  </si>
  <si>
    <t xml:space="preserve">Athletics </t>
  </si>
  <si>
    <t>Teachers (e.g. Coaches, Dance Dir.)</t>
  </si>
  <si>
    <t>0017785</t>
  </si>
  <si>
    <t>0017795</t>
  </si>
  <si>
    <t>0017805</t>
  </si>
  <si>
    <t>0017815</t>
  </si>
  <si>
    <t>0017825</t>
  </si>
  <si>
    <t>0017835</t>
  </si>
  <si>
    <t>0017850</t>
  </si>
  <si>
    <t>0017860</t>
  </si>
  <si>
    <t>0017870</t>
  </si>
  <si>
    <t>0017890</t>
  </si>
  <si>
    <t>0017900</t>
  </si>
  <si>
    <t>0017910</t>
  </si>
  <si>
    <t>0017920</t>
  </si>
  <si>
    <t>0017930</t>
  </si>
  <si>
    <t>0017945</t>
  </si>
  <si>
    <t>0017955</t>
  </si>
  <si>
    <t>0017965</t>
  </si>
  <si>
    <t>0017975</t>
  </si>
  <si>
    <t>0017990</t>
  </si>
  <si>
    <t>0018000</t>
  </si>
  <si>
    <t>0018010</t>
  </si>
  <si>
    <t>0018020</t>
  </si>
  <si>
    <t>0018035</t>
  </si>
  <si>
    <t>0018045</t>
  </si>
  <si>
    <t>0018060</t>
  </si>
  <si>
    <t>0018070</t>
  </si>
  <si>
    <t>0018080</t>
  </si>
  <si>
    <t>0018095</t>
  </si>
  <si>
    <t>0018105</t>
  </si>
  <si>
    <t>0018115</t>
  </si>
  <si>
    <t>0018125</t>
  </si>
  <si>
    <t>0018135</t>
  </si>
  <si>
    <t>0018145</t>
  </si>
  <si>
    <t>0018155</t>
  </si>
  <si>
    <t>0018165</t>
  </si>
  <si>
    <t>0018175</t>
  </si>
  <si>
    <t>Driver Education Programs (1440)</t>
  </si>
  <si>
    <t>0018195</t>
  </si>
  <si>
    <t>Driver Education</t>
  </si>
  <si>
    <t>0018205</t>
  </si>
  <si>
    <t>0018215</t>
  </si>
  <si>
    <t>0018225</t>
  </si>
  <si>
    <t>0018235</t>
  </si>
  <si>
    <t>0018245</t>
  </si>
  <si>
    <t>0018255</t>
  </si>
  <si>
    <t>0018270</t>
  </si>
  <si>
    <t>(2) Rental of Equipment and Vehicles</t>
  </si>
  <si>
    <t>0018280</t>
  </si>
  <si>
    <t>Rental of Equipment and Vehicles</t>
  </si>
  <si>
    <t>0018290</t>
  </si>
  <si>
    <t>(1) Fleet Insurance</t>
  </si>
  <si>
    <t>0018305</t>
  </si>
  <si>
    <t>Fleet Insurance</t>
  </si>
  <si>
    <t>(2) Tuition (see KPC 0020430 for others)</t>
  </si>
  <si>
    <t>0018320</t>
  </si>
  <si>
    <t>0018330</t>
  </si>
  <si>
    <t>0018340</t>
  </si>
  <si>
    <t>(3) Travel Expense Reimbursement</t>
  </si>
  <si>
    <t>0018350</t>
  </si>
  <si>
    <t>(4) Other Purchased Services</t>
  </si>
  <si>
    <t>0018360</t>
  </si>
  <si>
    <t>0018375</t>
  </si>
  <si>
    <t>0018385</t>
  </si>
  <si>
    <t>(3) Fuel</t>
  </si>
  <si>
    <t>0018395</t>
  </si>
  <si>
    <t>Fuel</t>
  </si>
  <si>
    <t>(4) Textbooks/Workbooks</t>
  </si>
  <si>
    <t>0018405</t>
  </si>
  <si>
    <t>(5) Other Supplies</t>
  </si>
  <si>
    <t>0018415</t>
  </si>
  <si>
    <t>0018430</t>
  </si>
  <si>
    <t>0018440</t>
  </si>
  <si>
    <t>(3) All Other Equipment (Including Veh.)</t>
  </si>
  <si>
    <t>0018450</t>
  </si>
  <si>
    <t>0018460</t>
  </si>
  <si>
    <t>0018475</t>
  </si>
  <si>
    <t>0018485</t>
  </si>
  <si>
    <t>0018500</t>
  </si>
  <si>
    <t>0018510</t>
  </si>
  <si>
    <t>0018520</t>
  </si>
  <si>
    <t>0018535</t>
  </si>
  <si>
    <t>0018545</t>
  </si>
  <si>
    <t>0018555</t>
  </si>
  <si>
    <t>0018565</t>
  </si>
  <si>
    <t>0018575</t>
  </si>
  <si>
    <t>0018585</t>
  </si>
  <si>
    <t>0018595</t>
  </si>
  <si>
    <t>0018605</t>
  </si>
  <si>
    <t>0018615</t>
  </si>
  <si>
    <t>Junior ROTC Program (1450)</t>
  </si>
  <si>
    <t>(1) Teachers/Instructors</t>
  </si>
  <si>
    <t>0018635</t>
  </si>
  <si>
    <t>Teachers/Instructors</t>
  </si>
  <si>
    <t>0018645</t>
  </si>
  <si>
    <t>0018655</t>
  </si>
  <si>
    <t>0018665</t>
  </si>
  <si>
    <t>0018675</t>
  </si>
  <si>
    <t>0018685</t>
  </si>
  <si>
    <t>0018695</t>
  </si>
  <si>
    <t>0018710</t>
  </si>
  <si>
    <t>0018720</t>
  </si>
  <si>
    <t>0018730</t>
  </si>
  <si>
    <t>0018750</t>
  </si>
  <si>
    <t>0018760</t>
  </si>
  <si>
    <t>0018770</t>
  </si>
  <si>
    <t>0018780</t>
  </si>
  <si>
    <t>0018790</t>
  </si>
  <si>
    <t>0018805</t>
  </si>
  <si>
    <t>0018815</t>
  </si>
  <si>
    <t>0018825</t>
  </si>
  <si>
    <t>0018835</t>
  </si>
  <si>
    <t>0018850</t>
  </si>
  <si>
    <t>0018860</t>
  </si>
  <si>
    <t>0018870</t>
  </si>
  <si>
    <t>0018880</t>
  </si>
  <si>
    <t>0018895</t>
  </si>
  <si>
    <t>0018905</t>
  </si>
  <si>
    <t>0018920</t>
  </si>
  <si>
    <t>0018930</t>
  </si>
  <si>
    <t>0018940</t>
  </si>
  <si>
    <t>0018955</t>
  </si>
  <si>
    <t>0018965</t>
  </si>
  <si>
    <t>0018975</t>
  </si>
  <si>
    <t>0018985</t>
  </si>
  <si>
    <t>0018995</t>
  </si>
  <si>
    <t>0019005</t>
  </si>
  <si>
    <t>0019015</t>
  </si>
  <si>
    <t>0019025</t>
  </si>
  <si>
    <t>0019035</t>
  </si>
  <si>
    <t>After-School Programs - Exclude Special Ed. (1460)</t>
  </si>
  <si>
    <t>0019055</t>
  </si>
  <si>
    <t>Afterschool programs</t>
  </si>
  <si>
    <t>0019065</t>
  </si>
  <si>
    <t>0019075</t>
  </si>
  <si>
    <t>0019085</t>
  </si>
  <si>
    <t>0019095</t>
  </si>
  <si>
    <t>0019105</t>
  </si>
  <si>
    <t>0019115</t>
  </si>
  <si>
    <t>0019130</t>
  </si>
  <si>
    <t>0019140</t>
  </si>
  <si>
    <t>0019150</t>
  </si>
  <si>
    <t>1) Tuition (see KPC 0020430 for others)</t>
  </si>
  <si>
    <t>0019170</t>
  </si>
  <si>
    <t>0019180</t>
  </si>
  <si>
    <t>0019190</t>
  </si>
  <si>
    <t>0019200</t>
  </si>
  <si>
    <t>0019210</t>
  </si>
  <si>
    <t>0019225</t>
  </si>
  <si>
    <t>0019235</t>
  </si>
  <si>
    <t>0019245</t>
  </si>
  <si>
    <t>0019255</t>
  </si>
  <si>
    <t>0019270</t>
  </si>
  <si>
    <t>0019280</t>
  </si>
  <si>
    <t>0019290</t>
  </si>
  <si>
    <t>0019300</t>
  </si>
  <si>
    <t>0019315</t>
  </si>
  <si>
    <t>0019325</t>
  </si>
  <si>
    <t>0019340</t>
  </si>
  <si>
    <t>0019350</t>
  </si>
  <si>
    <t>0019360</t>
  </si>
  <si>
    <t>0019375</t>
  </si>
  <si>
    <t>0019385</t>
  </si>
  <si>
    <t>0019395</t>
  </si>
  <si>
    <t>0019405</t>
  </si>
  <si>
    <t>0019415</t>
  </si>
  <si>
    <t>0019425</t>
  </si>
  <si>
    <t>0019435</t>
  </si>
  <si>
    <t>0019445</t>
  </si>
  <si>
    <t>0019455</t>
  </si>
  <si>
    <t>Summer School Programs - Exclude Sp. Ed. (1470)</t>
  </si>
  <si>
    <t>0019475</t>
  </si>
  <si>
    <t>Summer School</t>
  </si>
  <si>
    <t>0019485</t>
  </si>
  <si>
    <t>0019495</t>
  </si>
  <si>
    <t>0019505</t>
  </si>
  <si>
    <t>0019515</t>
  </si>
  <si>
    <t>0019525</t>
  </si>
  <si>
    <t>0019535</t>
  </si>
  <si>
    <t>0019550</t>
  </si>
  <si>
    <t>0019560</t>
  </si>
  <si>
    <t>0019570</t>
  </si>
  <si>
    <t>0019590</t>
  </si>
  <si>
    <t>0019600</t>
  </si>
  <si>
    <t>0019610</t>
  </si>
  <si>
    <t>0019620</t>
  </si>
  <si>
    <t>0019630</t>
  </si>
  <si>
    <t>0019645</t>
  </si>
  <si>
    <t>0019655</t>
  </si>
  <si>
    <t>0019665</t>
  </si>
  <si>
    <t>0019675</t>
  </si>
  <si>
    <t>0019690</t>
  </si>
  <si>
    <t>0019700</t>
  </si>
  <si>
    <t>0019710</t>
  </si>
  <si>
    <t>0019720</t>
  </si>
  <si>
    <t>0019735</t>
  </si>
  <si>
    <t>0019745</t>
  </si>
  <si>
    <t>0019760</t>
  </si>
  <si>
    <t>0019770</t>
  </si>
  <si>
    <t>0019780</t>
  </si>
  <si>
    <t>0019795</t>
  </si>
  <si>
    <t>0019805</t>
  </si>
  <si>
    <t>0019815</t>
  </si>
  <si>
    <t>0019825</t>
  </si>
  <si>
    <t>0019835</t>
  </si>
  <si>
    <t>0019845</t>
  </si>
  <si>
    <t>0019855</t>
  </si>
  <si>
    <t>0019865</t>
  </si>
  <si>
    <t>0019875</t>
  </si>
  <si>
    <t>Alternative School Programs (1480)</t>
  </si>
  <si>
    <t>0019895</t>
  </si>
  <si>
    <t>B</t>
  </si>
  <si>
    <t>Alternative Programs</t>
  </si>
  <si>
    <t>0019905</t>
  </si>
  <si>
    <t>0019915</t>
  </si>
  <si>
    <t>0019925</t>
  </si>
  <si>
    <t>0019935</t>
  </si>
  <si>
    <t>0019945</t>
  </si>
  <si>
    <t>0019955</t>
  </si>
  <si>
    <t>0019970</t>
  </si>
  <si>
    <t>0019980</t>
  </si>
  <si>
    <t>0019990</t>
  </si>
  <si>
    <t>0020010</t>
  </si>
  <si>
    <t>0020020</t>
  </si>
  <si>
    <t>0020030</t>
  </si>
  <si>
    <t>0020040</t>
  </si>
  <si>
    <t>0020050</t>
  </si>
  <si>
    <t>0020065</t>
  </si>
  <si>
    <t>0020075</t>
  </si>
  <si>
    <t>0020085</t>
  </si>
  <si>
    <t>0020095</t>
  </si>
  <si>
    <t>0020110</t>
  </si>
  <si>
    <t>0020120</t>
  </si>
  <si>
    <t>0020130</t>
  </si>
  <si>
    <t>0020140</t>
  </si>
  <si>
    <t>0020155</t>
  </si>
  <si>
    <t>0020165</t>
  </si>
  <si>
    <t>0020180</t>
  </si>
  <si>
    <t>0020190</t>
  </si>
  <si>
    <t>0020200</t>
  </si>
  <si>
    <t>0020215</t>
  </si>
  <si>
    <t>0020225</t>
  </si>
  <si>
    <t>0020235</t>
  </si>
  <si>
    <t>0020245</t>
  </si>
  <si>
    <t>0020255</t>
  </si>
  <si>
    <t>0020265</t>
  </si>
  <si>
    <t>0020275</t>
  </si>
  <si>
    <t>0020285</t>
  </si>
  <si>
    <t>0020295</t>
  </si>
  <si>
    <t>Other Instructional Programs (1490)</t>
  </si>
  <si>
    <t>0020315</t>
  </si>
  <si>
    <t>Other Instructional Programs</t>
  </si>
  <si>
    <t>0020325</t>
  </si>
  <si>
    <t>0020335</t>
  </si>
  <si>
    <t>0020345</t>
  </si>
  <si>
    <t>0020355</t>
  </si>
  <si>
    <t>0020365</t>
  </si>
  <si>
    <t>0020375</t>
  </si>
  <si>
    <t>0020390</t>
  </si>
  <si>
    <t>0020400</t>
  </si>
  <si>
    <t>0020410</t>
  </si>
  <si>
    <t>(1) Tuition Not Reported Elsewhere</t>
  </si>
  <si>
    <t>0020430</t>
  </si>
  <si>
    <t>0020440</t>
  </si>
  <si>
    <t>0020450</t>
  </si>
  <si>
    <t>(d) Other Than LEA's (In-State)</t>
  </si>
  <si>
    <t>0020460</t>
  </si>
  <si>
    <t>Other Than LEA's (In-State)</t>
  </si>
  <si>
    <t>(e) Other Than LEA's (Out-Of-State)</t>
  </si>
  <si>
    <t>0020470</t>
  </si>
  <si>
    <t>Other Than LEA's (Out-Of-State)</t>
  </si>
  <si>
    <t>(f) Paid To Charter Schools - Vouchers</t>
  </si>
  <si>
    <t>0020480</t>
  </si>
  <si>
    <t>(g) Paid To Sch. District - Vouchers</t>
  </si>
  <si>
    <t>0020490</t>
  </si>
  <si>
    <t>Paid To Sch. District - Vouchers</t>
  </si>
  <si>
    <t>(h) Paid To All Others</t>
  </si>
  <si>
    <t>0020500</t>
  </si>
  <si>
    <t>Paid To All Others</t>
  </si>
  <si>
    <t>0020510</t>
  </si>
  <si>
    <t>0020520</t>
  </si>
  <si>
    <t>0020535</t>
  </si>
  <si>
    <t>0020545</t>
  </si>
  <si>
    <t>0020555</t>
  </si>
  <si>
    <t>0020565</t>
  </si>
  <si>
    <t>0020580</t>
  </si>
  <si>
    <t>0020590</t>
  </si>
  <si>
    <t>0020600</t>
  </si>
  <si>
    <t>0020610</t>
  </si>
  <si>
    <t>0020625</t>
  </si>
  <si>
    <t>0020635</t>
  </si>
  <si>
    <t>0020650</t>
  </si>
  <si>
    <t>0020660</t>
  </si>
  <si>
    <t>0020670</t>
  </si>
  <si>
    <t>0020685</t>
  </si>
  <si>
    <t>0020695</t>
  </si>
  <si>
    <t>0020705</t>
  </si>
  <si>
    <t>0020715</t>
  </si>
  <si>
    <t>0020725</t>
  </si>
  <si>
    <t>0020735</t>
  </si>
  <si>
    <t>0020745</t>
  </si>
  <si>
    <t>0020755</t>
  </si>
  <si>
    <t>0020765</t>
  </si>
  <si>
    <t>TOTAL D. Other Instructional Program Expenditures</t>
  </si>
  <si>
    <t>E.</t>
  </si>
  <si>
    <t>Every Student Succeeds Act (ESSA) (1510)</t>
  </si>
  <si>
    <t>0020875</t>
  </si>
  <si>
    <t>ESSA Programs</t>
  </si>
  <si>
    <t>0020885</t>
  </si>
  <si>
    <t>0020895</t>
  </si>
  <si>
    <t>0020905</t>
  </si>
  <si>
    <t>0020915</t>
  </si>
  <si>
    <t>0020925</t>
  </si>
  <si>
    <t>0020935</t>
  </si>
  <si>
    <t>0020950</t>
  </si>
  <si>
    <t>0020960</t>
  </si>
  <si>
    <t>0020970</t>
  </si>
  <si>
    <t>0020990</t>
  </si>
  <si>
    <t>0021000</t>
  </si>
  <si>
    <t>0021010</t>
  </si>
  <si>
    <t>0021020</t>
  </si>
  <si>
    <t>0021030</t>
  </si>
  <si>
    <t>0021045</t>
  </si>
  <si>
    <t>0021055</t>
  </si>
  <si>
    <t>0021065</t>
  </si>
  <si>
    <t>0021075</t>
  </si>
  <si>
    <t>0021090</t>
  </si>
  <si>
    <t>0021100</t>
  </si>
  <si>
    <t>0021110</t>
  </si>
  <si>
    <t>0021120</t>
  </si>
  <si>
    <t>0021135</t>
  </si>
  <si>
    <t>0021145</t>
  </si>
  <si>
    <t>0021160</t>
  </si>
  <si>
    <t>0021170</t>
  </si>
  <si>
    <t>0021180</t>
  </si>
  <si>
    <t>0021195</t>
  </si>
  <si>
    <t>0021205</t>
  </si>
  <si>
    <t>0021215</t>
  </si>
  <si>
    <t>0021225</t>
  </si>
  <si>
    <t>0021235</t>
  </si>
  <si>
    <t>0021245</t>
  </si>
  <si>
    <t>0021255</t>
  </si>
  <si>
    <t>0021265</t>
  </si>
  <si>
    <t>0021275</t>
  </si>
  <si>
    <t>English Language Acquisition Gp - Title III (1520)</t>
  </si>
  <si>
    <t>0021295</t>
  </si>
  <si>
    <t>ELL Programs</t>
  </si>
  <si>
    <t>0021305</t>
  </si>
  <si>
    <t>0021315</t>
  </si>
  <si>
    <t>0021325</t>
  </si>
  <si>
    <t>0021335</t>
  </si>
  <si>
    <t>0021345</t>
  </si>
  <si>
    <t>0021355</t>
  </si>
  <si>
    <t>0021370</t>
  </si>
  <si>
    <t>0021380</t>
  </si>
  <si>
    <t>0021390</t>
  </si>
  <si>
    <t>0021410</t>
  </si>
  <si>
    <t>0021420</t>
  </si>
  <si>
    <t>0021430</t>
  </si>
  <si>
    <t>0021440</t>
  </si>
  <si>
    <t>0021450</t>
  </si>
  <si>
    <t>0021465</t>
  </si>
  <si>
    <t>0021475</t>
  </si>
  <si>
    <t>0021485</t>
  </si>
  <si>
    <t>0021495</t>
  </si>
  <si>
    <t>0021510</t>
  </si>
  <si>
    <t>0021520</t>
  </si>
  <si>
    <t>0021530</t>
  </si>
  <si>
    <t>0021540</t>
  </si>
  <si>
    <t>0021555</t>
  </si>
  <si>
    <t>0021565</t>
  </si>
  <si>
    <t>0021580</t>
  </si>
  <si>
    <t>0021590</t>
  </si>
  <si>
    <t>0021600</t>
  </si>
  <si>
    <t>0021615</t>
  </si>
  <si>
    <t>0021625</t>
  </si>
  <si>
    <t>0021635</t>
  </si>
  <si>
    <t>0021645</t>
  </si>
  <si>
    <t>0021655</t>
  </si>
  <si>
    <t>0021665</t>
  </si>
  <si>
    <t>0021675</t>
  </si>
  <si>
    <t>0021685</t>
  </si>
  <si>
    <t>0021695</t>
  </si>
  <si>
    <t>Pre-Kindergarten Programs (1530)</t>
  </si>
  <si>
    <t>(e.g., Headstart, Early Childhood, etc.)</t>
  </si>
  <si>
    <t>0021720</t>
  </si>
  <si>
    <t>PreK Programs</t>
  </si>
  <si>
    <t>0021730</t>
  </si>
  <si>
    <t>0021740</t>
  </si>
  <si>
    <t>0021750</t>
  </si>
  <si>
    <t>0021760</t>
  </si>
  <si>
    <t>0021770</t>
  </si>
  <si>
    <t>0021780</t>
  </si>
  <si>
    <t>0021795</t>
  </si>
  <si>
    <t>0021805</t>
  </si>
  <si>
    <t>0021815</t>
  </si>
  <si>
    <t>0021835</t>
  </si>
  <si>
    <t>0021845</t>
  </si>
  <si>
    <t>0021855</t>
  </si>
  <si>
    <t>0021865</t>
  </si>
  <si>
    <t>0021875</t>
  </si>
  <si>
    <t>0021890</t>
  </si>
  <si>
    <t>0021900</t>
  </si>
  <si>
    <t>0021910</t>
  </si>
  <si>
    <t>0021920</t>
  </si>
  <si>
    <t>0021935</t>
  </si>
  <si>
    <t>0021945</t>
  </si>
  <si>
    <t>0021955</t>
  </si>
  <si>
    <t>0021965</t>
  </si>
  <si>
    <t>0021980</t>
  </si>
  <si>
    <t>0021990</t>
  </si>
  <si>
    <t>0022005</t>
  </si>
  <si>
    <t>0022015</t>
  </si>
  <si>
    <t>0022025</t>
  </si>
  <si>
    <t>0022040</t>
  </si>
  <si>
    <t>0022050</t>
  </si>
  <si>
    <t>0022060</t>
  </si>
  <si>
    <t>0022070</t>
  </si>
  <si>
    <t>0022080</t>
  </si>
  <si>
    <t>0022090</t>
  </si>
  <si>
    <t>0022100</t>
  </si>
  <si>
    <t>0022110</t>
  </si>
  <si>
    <t>0022120</t>
  </si>
  <si>
    <t>Other Special Programs (1590)</t>
  </si>
  <si>
    <t>0022140</t>
  </si>
  <si>
    <t>Other Special Programs</t>
  </si>
  <si>
    <t>0022150</t>
  </si>
  <si>
    <t>0022160</t>
  </si>
  <si>
    <t>0022170</t>
  </si>
  <si>
    <t>0022180</t>
  </si>
  <si>
    <t>0022190</t>
  </si>
  <si>
    <t>0022200</t>
  </si>
  <si>
    <t>0022215</t>
  </si>
  <si>
    <t>0022225</t>
  </si>
  <si>
    <t>0022235</t>
  </si>
  <si>
    <t>0022255</t>
  </si>
  <si>
    <t>0022265</t>
  </si>
  <si>
    <t>0022275</t>
  </si>
  <si>
    <t>0022285</t>
  </si>
  <si>
    <t>0022295</t>
  </si>
  <si>
    <t>0022310</t>
  </si>
  <si>
    <t>0022320</t>
  </si>
  <si>
    <t>0022330</t>
  </si>
  <si>
    <t>0022340</t>
  </si>
  <si>
    <t>0022355</t>
  </si>
  <si>
    <t>0022365</t>
  </si>
  <si>
    <t>0022375</t>
  </si>
  <si>
    <t>0022385</t>
  </si>
  <si>
    <t>0022400</t>
  </si>
  <si>
    <t>0022410</t>
  </si>
  <si>
    <t>0022425</t>
  </si>
  <si>
    <t>0022435</t>
  </si>
  <si>
    <t>0022445</t>
  </si>
  <si>
    <t>0022460</t>
  </si>
  <si>
    <t>0022470</t>
  </si>
  <si>
    <t>0022480</t>
  </si>
  <si>
    <t>0022490</t>
  </si>
  <si>
    <t>0022500</t>
  </si>
  <si>
    <t>0022510</t>
  </si>
  <si>
    <t>0022520</t>
  </si>
  <si>
    <t>0022530</t>
  </si>
  <si>
    <t>0022540</t>
  </si>
  <si>
    <t>TOTAL E. Special Program Expenditures</t>
  </si>
  <si>
    <t>F.</t>
  </si>
  <si>
    <t>Adult/Continuing Education Programs (1600)</t>
  </si>
  <si>
    <t>0022620</t>
  </si>
  <si>
    <t>Adult Ed Programs</t>
  </si>
  <si>
    <t>0022630</t>
  </si>
  <si>
    <t>0022640</t>
  </si>
  <si>
    <t>0022650</t>
  </si>
  <si>
    <t>0022660</t>
  </si>
  <si>
    <t>0022670</t>
  </si>
  <si>
    <t>0022680</t>
  </si>
  <si>
    <t>0022695</t>
  </si>
  <si>
    <t>0022705</t>
  </si>
  <si>
    <t>0022715</t>
  </si>
  <si>
    <t>0022735</t>
  </si>
  <si>
    <t>0022745</t>
  </si>
  <si>
    <t>0022755</t>
  </si>
  <si>
    <t>0022765</t>
  </si>
  <si>
    <t>0022775</t>
  </si>
  <si>
    <t>0022790</t>
  </si>
  <si>
    <t>0022800</t>
  </si>
  <si>
    <t>0022810</t>
  </si>
  <si>
    <t>0022820</t>
  </si>
  <si>
    <t>0022835</t>
  </si>
  <si>
    <t>0022845</t>
  </si>
  <si>
    <t>0022855</t>
  </si>
  <si>
    <t>0022865</t>
  </si>
  <si>
    <t>0022880</t>
  </si>
  <si>
    <t>0022890</t>
  </si>
  <si>
    <t>0022905</t>
  </si>
  <si>
    <t>0022915</t>
  </si>
  <si>
    <t>0022925</t>
  </si>
  <si>
    <t>0022940</t>
  </si>
  <si>
    <t>0022950</t>
  </si>
  <si>
    <t>0022960</t>
  </si>
  <si>
    <t>0022970</t>
  </si>
  <si>
    <t>0022980</t>
  </si>
  <si>
    <t>0022990</t>
  </si>
  <si>
    <t>0023000</t>
  </si>
  <si>
    <t>0023010</t>
  </si>
  <si>
    <t>j</t>
  </si>
  <si>
    <t>0023020</t>
  </si>
  <si>
    <t>TOTAL F. Adult/Continuing Ed. Expenditures</t>
  </si>
  <si>
    <t>Note: Section G and Sub-Paras 39-46 Are Reserved For</t>
  </si>
  <si>
    <t>Community College Program Data (Pre-1999 Reports)</t>
  </si>
  <si>
    <t>TOTAL I. A-G. INSTRUCTION EXPENDITURES</t>
  </si>
  <si>
    <t>SUPPORT SERVICES PROGRAMS</t>
  </si>
  <si>
    <t>Attendance and Social Work Services (2110)</t>
  </si>
  <si>
    <t>(1) Supervisors</t>
  </si>
  <si>
    <t>0024230</t>
  </si>
  <si>
    <t>Attendance &amp; Social Work Programs</t>
  </si>
  <si>
    <t>Supervisors</t>
  </si>
  <si>
    <t>(2) Social Workers</t>
  </si>
  <si>
    <t>0024240</t>
  </si>
  <si>
    <t>Social Workers</t>
  </si>
  <si>
    <t>(3) Clerical/Secretarial</t>
  </si>
  <si>
    <t>0024250</t>
  </si>
  <si>
    <t>Clerical/Secretarial</t>
  </si>
  <si>
    <t>(4) Other Attendance/Social Work Salaries</t>
  </si>
  <si>
    <t>0024260</t>
  </si>
  <si>
    <t>Other Attendance/Social Work Salaries</t>
  </si>
  <si>
    <t>(5) Sabbatical Leave</t>
  </si>
  <si>
    <t>0024270</t>
  </si>
  <si>
    <t>0024280</t>
  </si>
  <si>
    <t>0024295</t>
  </si>
  <si>
    <t>0024305</t>
  </si>
  <si>
    <t>0024315</t>
  </si>
  <si>
    <t>(1) Travel Expense Reimbursement</t>
  </si>
  <si>
    <t>0024330</t>
  </si>
  <si>
    <t>(2) Other Purchased Services</t>
  </si>
  <si>
    <t>0024340</t>
  </si>
  <si>
    <t>0024355</t>
  </si>
  <si>
    <t>0024365</t>
  </si>
  <si>
    <t>(3) Other Supplies</t>
  </si>
  <si>
    <t>0024375</t>
  </si>
  <si>
    <t>0024390</t>
  </si>
  <si>
    <t>0024400</t>
  </si>
  <si>
    <t>0024410</t>
  </si>
  <si>
    <t>0024420</t>
  </si>
  <si>
    <t>0024435</t>
  </si>
  <si>
    <t>0024445</t>
  </si>
  <si>
    <t>0024510</t>
  </si>
  <si>
    <t>0024520</t>
  </si>
  <si>
    <t>0024530</t>
  </si>
  <si>
    <t>0024545</t>
  </si>
  <si>
    <t>0024555</t>
  </si>
  <si>
    <t>0024565</t>
  </si>
  <si>
    <t>0024575</t>
  </si>
  <si>
    <t>0024585</t>
  </si>
  <si>
    <t>0024595</t>
  </si>
  <si>
    <t>0024605</t>
  </si>
  <si>
    <t>0024615</t>
  </si>
  <si>
    <t>0024625</t>
  </si>
  <si>
    <t>Guidance Services - All Students (2120)</t>
  </si>
  <si>
    <t>0024655</t>
  </si>
  <si>
    <t>Guidance Services</t>
  </si>
  <si>
    <t>(2) Guidance Counselors</t>
  </si>
  <si>
    <t>0024665</t>
  </si>
  <si>
    <t>Guidance Counselors</t>
  </si>
  <si>
    <t>0024675</t>
  </si>
  <si>
    <t>(4) Other Guidance Services Salaries</t>
  </si>
  <si>
    <t>0024685</t>
  </si>
  <si>
    <t>Other Guidance Services Salaries</t>
  </si>
  <si>
    <t>0024695</t>
  </si>
  <si>
    <t>0024705</t>
  </si>
  <si>
    <t>0024720</t>
  </si>
  <si>
    <t>0024730</t>
  </si>
  <si>
    <t>0024740</t>
  </si>
  <si>
    <t>0024755</t>
  </si>
  <si>
    <t>0024765</t>
  </si>
  <si>
    <t>0024780</t>
  </si>
  <si>
    <t>0024790</t>
  </si>
  <si>
    <t>0024800</t>
  </si>
  <si>
    <t>0024815</t>
  </si>
  <si>
    <t>0024825</t>
  </si>
  <si>
    <t>0024835</t>
  </si>
  <si>
    <t>0024845</t>
  </si>
  <si>
    <t>0024860</t>
  </si>
  <si>
    <t>0024870</t>
  </si>
  <si>
    <t>0024930</t>
  </si>
  <si>
    <t>0024940</t>
  </si>
  <si>
    <t>0024950</t>
  </si>
  <si>
    <t>0024965</t>
  </si>
  <si>
    <t>0024975</t>
  </si>
  <si>
    <t>0024985</t>
  </si>
  <si>
    <t>0024995</t>
  </si>
  <si>
    <t>0025005</t>
  </si>
  <si>
    <t>0025015</t>
  </si>
  <si>
    <t>0025025</t>
  </si>
  <si>
    <t>0025035</t>
  </si>
  <si>
    <t>0025045</t>
  </si>
  <si>
    <t>Health Services - All Students (2130)</t>
  </si>
  <si>
    <t>0025100</t>
  </si>
  <si>
    <t>Health Services</t>
  </si>
  <si>
    <t>(2) Staff Physicians</t>
  </si>
  <si>
    <t>0025110</t>
  </si>
  <si>
    <t>Staff Physicians</t>
  </si>
  <si>
    <t>(3) School Nurses (RN)</t>
  </si>
  <si>
    <t>0025120</t>
  </si>
  <si>
    <t>School Nurses (RN)</t>
  </si>
  <si>
    <t>(4) Therapists, Specalists, Counselors,</t>
  </si>
  <si>
    <t>and Psychologists - Health Services</t>
  </si>
  <si>
    <t>0025135</t>
  </si>
  <si>
    <t>(5) Clerical/Secretarial</t>
  </si>
  <si>
    <t>0025145</t>
  </si>
  <si>
    <t>(6) Aides - Health Services</t>
  </si>
  <si>
    <t>0025155</t>
  </si>
  <si>
    <t>Aides - Health Services</t>
  </si>
  <si>
    <t>(7) Other Salaries</t>
  </si>
  <si>
    <t>0025165</t>
  </si>
  <si>
    <t>Other Salaries</t>
  </si>
  <si>
    <t>(8) Sabbatical Leave</t>
  </si>
  <si>
    <t>0025175</t>
  </si>
  <si>
    <t>0025185</t>
  </si>
  <si>
    <t>0025200</t>
  </si>
  <si>
    <t>0025210</t>
  </si>
  <si>
    <t>0025220</t>
  </si>
  <si>
    <t>(1) Errors/Omissions Insur. (Malpractice)</t>
  </si>
  <si>
    <t>0025235</t>
  </si>
  <si>
    <t>Errors/Omissions Insurance</t>
  </si>
  <si>
    <t>0025245</t>
  </si>
  <si>
    <t>0025255</t>
  </si>
  <si>
    <t>0025270</t>
  </si>
  <si>
    <t>0025280</t>
  </si>
  <si>
    <t>0025290</t>
  </si>
  <si>
    <t>0025305</t>
  </si>
  <si>
    <t>0025315</t>
  </si>
  <si>
    <t>0025325</t>
  </si>
  <si>
    <t>0025335</t>
  </si>
  <si>
    <t>0025350</t>
  </si>
  <si>
    <t>0025360</t>
  </si>
  <si>
    <t>0025410</t>
  </si>
  <si>
    <t>0025420</t>
  </si>
  <si>
    <t>0025430</t>
  </si>
  <si>
    <t>0025445</t>
  </si>
  <si>
    <t>0025455</t>
  </si>
  <si>
    <t>0025465</t>
  </si>
  <si>
    <t>0025475</t>
  </si>
  <si>
    <t>0025485</t>
  </si>
  <si>
    <t>0025495</t>
  </si>
  <si>
    <t>0025505</t>
  </si>
  <si>
    <t>0025515</t>
  </si>
  <si>
    <t>0025525</t>
  </si>
  <si>
    <t>Educational Assessments - Special Needs (2140)</t>
  </si>
  <si>
    <t>0025580</t>
  </si>
  <si>
    <t>Educational Assessments</t>
  </si>
  <si>
    <t>(2) Psychologists</t>
  </si>
  <si>
    <t>0025590</t>
  </si>
  <si>
    <t>Psychologists</t>
  </si>
  <si>
    <t>(3) Educational Diagnosticians</t>
  </si>
  <si>
    <t>0025600</t>
  </si>
  <si>
    <t>Educational Diagnosticians</t>
  </si>
  <si>
    <t>(4) Other Therap./Counselors/Soc. Workers</t>
  </si>
  <si>
    <t>0025610</t>
  </si>
  <si>
    <t>Other Therap./Counselors/Soc. Workers</t>
  </si>
  <si>
    <t>0025620</t>
  </si>
  <si>
    <t>(6) Other Salaries</t>
  </si>
  <si>
    <t>0025630</t>
  </si>
  <si>
    <t>(7) Sabbatical Leave</t>
  </si>
  <si>
    <t>0025640</t>
  </si>
  <si>
    <t>0025650</t>
  </si>
  <si>
    <t>0025665</t>
  </si>
  <si>
    <t>0025675</t>
  </si>
  <si>
    <t>0025685</t>
  </si>
  <si>
    <t>0025700</t>
  </si>
  <si>
    <t>0025710</t>
  </si>
  <si>
    <t>0025725</t>
  </si>
  <si>
    <t>0025735</t>
  </si>
  <si>
    <t>0025745</t>
  </si>
  <si>
    <t>0025760</t>
  </si>
  <si>
    <t>0025770</t>
  </si>
  <si>
    <t>0025780</t>
  </si>
  <si>
    <t>0025790</t>
  </si>
  <si>
    <t>0025805</t>
  </si>
  <si>
    <t>0025815</t>
  </si>
  <si>
    <t>0025875</t>
  </si>
  <si>
    <t>0025885</t>
  </si>
  <si>
    <t>0025895</t>
  </si>
  <si>
    <t>0025910</t>
  </si>
  <si>
    <t>0025920</t>
  </si>
  <si>
    <t>0025930</t>
  </si>
  <si>
    <t>0025940</t>
  </si>
  <si>
    <t>0025950</t>
  </si>
  <si>
    <t>0025960</t>
  </si>
  <si>
    <t>0025970</t>
  </si>
  <si>
    <t>0025980</t>
  </si>
  <si>
    <t>0025990</t>
  </si>
  <si>
    <t>Speech Pathology &amp; Audiology - Sp Needs (2150)</t>
  </si>
  <si>
    <t>a. Salaries</t>
  </si>
  <si>
    <t>0026045</t>
  </si>
  <si>
    <t>Speech Services</t>
  </si>
  <si>
    <t>(2) Speech Therapists (Speech Impaired)</t>
  </si>
  <si>
    <t>0026055</t>
  </si>
  <si>
    <t>Speech Therapists (Speech Impaired)</t>
  </si>
  <si>
    <t>(3) Audio Therapists (Hearing Impaired)</t>
  </si>
  <si>
    <t>0026065</t>
  </si>
  <si>
    <t>Audio Therapists (Hearing Impaired)</t>
  </si>
  <si>
    <t>(4) Other Therapists/Specialists - Speech</t>
  </si>
  <si>
    <t>Pathology &amp; Audiology Services</t>
  </si>
  <si>
    <t>0026080</t>
  </si>
  <si>
    <t>(5) Educ. Interpr./Sign Language Interpr.</t>
  </si>
  <si>
    <t>0026090</t>
  </si>
  <si>
    <t>Educ. Interpr./Sign Language Interpr.</t>
  </si>
  <si>
    <t>(6) Clerical/Secretarial</t>
  </si>
  <si>
    <t>0026100</t>
  </si>
  <si>
    <t>(7) Other Salaries - Speech Path &amp; Audio</t>
  </si>
  <si>
    <t>0026110</t>
  </si>
  <si>
    <t>Other Salaries - Speech Path &amp; Audio</t>
  </si>
  <si>
    <t>0026120</t>
  </si>
  <si>
    <t>0026130</t>
  </si>
  <si>
    <t>0026145</t>
  </si>
  <si>
    <t>0026155</t>
  </si>
  <si>
    <t>0026165</t>
  </si>
  <si>
    <t>0026180</t>
  </si>
  <si>
    <t>0026190</t>
  </si>
  <si>
    <t>0026205</t>
  </si>
  <si>
    <t>0026215</t>
  </si>
  <si>
    <t>0026225</t>
  </si>
  <si>
    <t>0026240</t>
  </si>
  <si>
    <t>0026250</t>
  </si>
  <si>
    <t>0026260</t>
  </si>
  <si>
    <t>0026270</t>
  </si>
  <si>
    <t>0026285</t>
  </si>
  <si>
    <t>0026295</t>
  </si>
  <si>
    <t>0026350</t>
  </si>
  <si>
    <t>0026360</t>
  </si>
  <si>
    <t>0026370</t>
  </si>
  <si>
    <t>0026385</t>
  </si>
  <si>
    <t>0026395</t>
  </si>
  <si>
    <t>0026405</t>
  </si>
  <si>
    <t>0026415</t>
  </si>
  <si>
    <t>0026425</t>
  </si>
  <si>
    <t>0026435</t>
  </si>
  <si>
    <t>0026445</t>
  </si>
  <si>
    <t>0026455</t>
  </si>
  <si>
    <t>0026465</t>
  </si>
  <si>
    <t>Occupational Therapy &amp; Related Svcs -</t>
  </si>
  <si>
    <t>Special Needs (2160)</t>
  </si>
  <si>
    <t>0026515</t>
  </si>
  <si>
    <t>Occupational Therapy &amp; Related Svcs</t>
  </si>
  <si>
    <t>(2) Occupational Therapist</t>
  </si>
  <si>
    <t>0026525</t>
  </si>
  <si>
    <t>Occupational Therapist</t>
  </si>
  <si>
    <t>(3) Physical Therapist</t>
  </si>
  <si>
    <t>0026535</t>
  </si>
  <si>
    <t>Physical Therapist</t>
  </si>
  <si>
    <t>(4) Recreational Therapists</t>
  </si>
  <si>
    <t>0026545</t>
  </si>
  <si>
    <t>Recreational Therapists</t>
  </si>
  <si>
    <t>(5) Rehabilitational Therapist</t>
  </si>
  <si>
    <t>0026550</t>
  </si>
  <si>
    <t>Rehabilitational Therapist</t>
  </si>
  <si>
    <t>(6) Orientation and Mobility Therapists</t>
  </si>
  <si>
    <t>0026555</t>
  </si>
  <si>
    <t>Orientation and Mobility Therapists</t>
  </si>
  <si>
    <t>(7) Other Therapy &amp; Related Svcs Salaries</t>
  </si>
  <si>
    <t>0026565</t>
  </si>
  <si>
    <t>Other Therapy &amp; Related Svcs Salaries</t>
  </si>
  <si>
    <t>0026575</t>
  </si>
  <si>
    <t>0026585</t>
  </si>
  <si>
    <t>0026600</t>
  </si>
  <si>
    <t>0026610</t>
  </si>
  <si>
    <t>0026620</t>
  </si>
  <si>
    <t>0026635</t>
  </si>
  <si>
    <t>0026645</t>
  </si>
  <si>
    <t>0026660</t>
  </si>
  <si>
    <t>0026670</t>
  </si>
  <si>
    <t>0026680</t>
  </si>
  <si>
    <t>0026695</t>
  </si>
  <si>
    <t>0026705</t>
  </si>
  <si>
    <t>0026715</t>
  </si>
  <si>
    <t>0026725</t>
  </si>
  <si>
    <t>0026740</t>
  </si>
  <si>
    <t>0026750</t>
  </si>
  <si>
    <t>0026800</t>
  </si>
  <si>
    <t>0026810</t>
  </si>
  <si>
    <t>0026820</t>
  </si>
  <si>
    <t>0026835</t>
  </si>
  <si>
    <t>0026845</t>
  </si>
  <si>
    <t>0026855</t>
  </si>
  <si>
    <t>0026865</t>
  </si>
  <si>
    <t>0026875</t>
  </si>
  <si>
    <t>0026885</t>
  </si>
  <si>
    <t>0026895</t>
  </si>
  <si>
    <t>0026905</t>
  </si>
  <si>
    <t>0026915</t>
  </si>
  <si>
    <t>Support Of Individual Special Needs Students (2170)</t>
  </si>
  <si>
    <t>(1) Supervisor (eg, Assistive Tech Super)</t>
  </si>
  <si>
    <t>0026965</t>
  </si>
  <si>
    <t>Support Of Individual Special Needs Students</t>
  </si>
  <si>
    <t>Supervisor (eg, Assistive Tech Super)</t>
  </si>
  <si>
    <t>(2) Therapists/Specialists</t>
  </si>
  <si>
    <t>0026975</t>
  </si>
  <si>
    <t>Therapists/Specialists</t>
  </si>
  <si>
    <t>(3) Para-professionals (Aides)</t>
  </si>
  <si>
    <t>0026985</t>
  </si>
  <si>
    <t>(4) Other Salaries</t>
  </si>
  <si>
    <t>0026995</t>
  </si>
  <si>
    <t>0027005</t>
  </si>
  <si>
    <t>0027015</t>
  </si>
  <si>
    <t>0027030</t>
  </si>
  <si>
    <t>0027040</t>
  </si>
  <si>
    <t>0027050</t>
  </si>
  <si>
    <t>0027065</t>
  </si>
  <si>
    <t>0027075</t>
  </si>
  <si>
    <t>e. Supplies</t>
  </si>
  <si>
    <t>0027090</t>
  </si>
  <si>
    <t>0027100</t>
  </si>
  <si>
    <t>0027110</t>
  </si>
  <si>
    <t>0027125</t>
  </si>
  <si>
    <t>0027135</t>
  </si>
  <si>
    <t>0027145</t>
  </si>
  <si>
    <t>0027155</t>
  </si>
  <si>
    <t>0027170</t>
  </si>
  <si>
    <t>0027180</t>
  </si>
  <si>
    <t>0027230</t>
  </si>
  <si>
    <t>0027240</t>
  </si>
  <si>
    <t>0027250</t>
  </si>
  <si>
    <t>0027265</t>
  </si>
  <si>
    <t>0027275</t>
  </si>
  <si>
    <t>0027285</t>
  </si>
  <si>
    <t>0027295</t>
  </si>
  <si>
    <t>0027305</t>
  </si>
  <si>
    <t>0027315</t>
  </si>
  <si>
    <t>0027325</t>
  </si>
  <si>
    <t>0027335</t>
  </si>
  <si>
    <t>0027345</t>
  </si>
  <si>
    <t>Other Pupil Support Services (2190)</t>
  </si>
  <si>
    <t>(Includes parental and family involvement)</t>
  </si>
  <si>
    <t>(1) Other Supervisors</t>
  </si>
  <si>
    <t>0027400</t>
  </si>
  <si>
    <t xml:space="preserve">Other Pupil Support Services </t>
  </si>
  <si>
    <t>Other Supervisors</t>
  </si>
  <si>
    <t>(2) Other Therapists/Counselors</t>
  </si>
  <si>
    <t>0027410</t>
  </si>
  <si>
    <t>Other Therapists/Counselors</t>
  </si>
  <si>
    <t>(3) Other Clerical/Secretarial</t>
  </si>
  <si>
    <t>0027420</t>
  </si>
  <si>
    <t>Other Clerical/Secretarial</t>
  </si>
  <si>
    <t>(4) Substitute/Temporary Employees</t>
  </si>
  <si>
    <t>0027430</t>
  </si>
  <si>
    <t>Substitute/Temporary Employees</t>
  </si>
  <si>
    <t>(5) Other Salaries</t>
  </si>
  <si>
    <t>0027440</t>
  </si>
  <si>
    <t>(6) Other Sabbatical Leave</t>
  </si>
  <si>
    <t>0027450</t>
  </si>
  <si>
    <t>Other Sabbatical Leave</t>
  </si>
  <si>
    <t>0027460</t>
  </si>
  <si>
    <t>0027475</t>
  </si>
  <si>
    <t>0027485</t>
  </si>
  <si>
    <t>0027495</t>
  </si>
  <si>
    <t>0027510</t>
  </si>
  <si>
    <t>0027520</t>
  </si>
  <si>
    <t>0027535</t>
  </si>
  <si>
    <t>0027545</t>
  </si>
  <si>
    <t>0027555</t>
  </si>
  <si>
    <t>0027570</t>
  </si>
  <si>
    <t>0027580</t>
  </si>
  <si>
    <t>0027590</t>
  </si>
  <si>
    <t>0027600</t>
  </si>
  <si>
    <t>0027615</t>
  </si>
  <si>
    <t>0027625</t>
  </si>
  <si>
    <t>0027680</t>
  </si>
  <si>
    <t>0027690</t>
  </si>
  <si>
    <t>0027700</t>
  </si>
  <si>
    <t>0027715</t>
  </si>
  <si>
    <t>0027725</t>
  </si>
  <si>
    <t>0027735</t>
  </si>
  <si>
    <t>0027745</t>
  </si>
  <si>
    <t>0027755</t>
  </si>
  <si>
    <t>0027765</t>
  </si>
  <si>
    <t>0027775</t>
  </si>
  <si>
    <t>0027785</t>
  </si>
  <si>
    <t>0027795</t>
  </si>
  <si>
    <t>TOTAL A. Pupil Support Services</t>
  </si>
  <si>
    <t>Improvement of Instructional Services (2210)</t>
  </si>
  <si>
    <t>Regular Programs - Elem. and Sec.</t>
  </si>
  <si>
    <t>(1) Salaries - Improvements - Reg. Prog.</t>
  </si>
  <si>
    <t>(a) Director/Supervisors</t>
  </si>
  <si>
    <t>0028475</t>
  </si>
  <si>
    <t xml:space="preserve">Improvement of Instructional Services </t>
  </si>
  <si>
    <t>Director/Supervisors</t>
  </si>
  <si>
    <t>(b) Specialists</t>
  </si>
  <si>
    <t>0028485</t>
  </si>
  <si>
    <t>Specialists</t>
  </si>
  <si>
    <t>(c) Clerical/Secretarial</t>
  </si>
  <si>
    <t>0028495</t>
  </si>
  <si>
    <t>(d) Other Salaries</t>
  </si>
  <si>
    <t>0028505</t>
  </si>
  <si>
    <t>(e) Sabbatical Leave</t>
  </si>
  <si>
    <t>0028515</t>
  </si>
  <si>
    <t>(2) Purchased Professional and Tech. Svcs</t>
  </si>
  <si>
    <t>0028525</t>
  </si>
  <si>
    <t>Purchased Professional and Tech. Svcs</t>
  </si>
  <si>
    <t>(3) Purchased Property Services</t>
  </si>
  <si>
    <t>(a) Repairs and Maintenance Services</t>
  </si>
  <si>
    <t>0028540</t>
  </si>
  <si>
    <t>(b) Rental of Equipment</t>
  </si>
  <si>
    <t>0028550</t>
  </si>
  <si>
    <t>(c) Other Purchased Property Svcs</t>
  </si>
  <si>
    <t>0028560</t>
  </si>
  <si>
    <t>Other Purchased Property Svcs</t>
  </si>
  <si>
    <t>(a) Travel Expense Reimbursement</t>
  </si>
  <si>
    <t>0028575</t>
  </si>
  <si>
    <t>(b) Other Purchased Services</t>
  </si>
  <si>
    <t>0028585</t>
  </si>
  <si>
    <t>(5) Supplies</t>
  </si>
  <si>
    <t>(a) Technology-Related Supplies</t>
  </si>
  <si>
    <t>0028600</t>
  </si>
  <si>
    <t>(b) Materials and Supplies</t>
  </si>
  <si>
    <t>0028610</t>
  </si>
  <si>
    <t>(c) Other Supplies</t>
  </si>
  <si>
    <t>0028620</t>
  </si>
  <si>
    <t>(6) Property/Equipment</t>
  </si>
  <si>
    <t>(a) Technology-Related Hardware</t>
  </si>
  <si>
    <t>0028635</t>
  </si>
  <si>
    <t>(b) Technology Software</t>
  </si>
  <si>
    <t>0028645</t>
  </si>
  <si>
    <t>(c) All Other Equipment</t>
  </si>
  <si>
    <t>0028655</t>
  </si>
  <si>
    <t>(d) Other Property</t>
  </si>
  <si>
    <t>0028665</t>
  </si>
  <si>
    <t>(7) Miscellaneous</t>
  </si>
  <si>
    <t>(a) Misc. Non-Public Expenditures</t>
  </si>
  <si>
    <t>0028680</t>
  </si>
  <si>
    <t>Misc. Non-Public Expenditures</t>
  </si>
  <si>
    <t>(b) Other Miscellaneous Expenditures</t>
  </si>
  <si>
    <t>0028690</t>
  </si>
  <si>
    <t>(8) Employee Benefits</t>
  </si>
  <si>
    <t>(a) Group Insurance</t>
  </si>
  <si>
    <t>0028735</t>
  </si>
  <si>
    <t>(b) FICA</t>
  </si>
  <si>
    <t>0028745</t>
  </si>
  <si>
    <t>(c) Medicare</t>
  </si>
  <si>
    <t>0028755</t>
  </si>
  <si>
    <t>(d) Employer's Contribution to</t>
  </si>
  <si>
    <t>1) Louisiana Teachers Retirement</t>
  </si>
  <si>
    <t>0028770</t>
  </si>
  <si>
    <t>2) Louisiana School Emp. Retire.</t>
  </si>
  <si>
    <t>0028780</t>
  </si>
  <si>
    <t>Louisiana School Emp. Retire.</t>
  </si>
  <si>
    <t>3) Other Retirement</t>
  </si>
  <si>
    <t>0028790</t>
  </si>
  <si>
    <t>(e) Unemployment Compensation</t>
  </si>
  <si>
    <t>0028800</t>
  </si>
  <si>
    <t>(f) Workmen's Compensation</t>
  </si>
  <si>
    <t>0028810</t>
  </si>
  <si>
    <t>(g) Health Benefits (retirees)</t>
  </si>
  <si>
    <t>0028820</t>
  </si>
  <si>
    <t>(h) Sick Leave Severance Pay</t>
  </si>
  <si>
    <t>0028830</t>
  </si>
  <si>
    <t>(i) Annual Leave Severance Pay</t>
  </si>
  <si>
    <t>0028840</t>
  </si>
  <si>
    <t>(j) Other Employee Benefits</t>
  </si>
  <si>
    <t>0028850</t>
  </si>
  <si>
    <t>Special Education Programs - Sp. Needs</t>
  </si>
  <si>
    <t>(1) Salaries - Improvements - Sp Ed Prog</t>
  </si>
  <si>
    <t>(a) District Sp. Ed Dir./Supervisors</t>
  </si>
  <si>
    <t>0028905</t>
  </si>
  <si>
    <t>Instructional Staff Services - Special Education Programs</t>
  </si>
  <si>
    <t>District Sp. Ed Dir./Supervisors</t>
  </si>
  <si>
    <t>0028915</t>
  </si>
  <si>
    <t>0028925</t>
  </si>
  <si>
    <t>0028935</t>
  </si>
  <si>
    <t>0028945</t>
  </si>
  <si>
    <t>0028955</t>
  </si>
  <si>
    <t>0028970</t>
  </si>
  <si>
    <t>0028980</t>
  </si>
  <si>
    <t>0028990</t>
  </si>
  <si>
    <t>0029005</t>
  </si>
  <si>
    <t>0029015</t>
  </si>
  <si>
    <t>0029030</t>
  </si>
  <si>
    <t>0029040</t>
  </si>
  <si>
    <t>0029050</t>
  </si>
  <si>
    <t>0029065</t>
  </si>
  <si>
    <t>0029075</t>
  </si>
  <si>
    <t>0029085</t>
  </si>
  <si>
    <t>0029095</t>
  </si>
  <si>
    <t>0029110</t>
  </si>
  <si>
    <t>0029120</t>
  </si>
  <si>
    <t>0029170</t>
  </si>
  <si>
    <t>0029180</t>
  </si>
  <si>
    <t>0029190</t>
  </si>
  <si>
    <t>0029205</t>
  </si>
  <si>
    <t>0029215</t>
  </si>
  <si>
    <t>0029225</t>
  </si>
  <si>
    <t>0029235</t>
  </si>
  <si>
    <t>0029245</t>
  </si>
  <si>
    <t>0029255</t>
  </si>
  <si>
    <t>0029265</t>
  </si>
  <si>
    <t>0029275</t>
  </si>
  <si>
    <t>0029285</t>
  </si>
  <si>
    <t>Special Education Programs(G/T) Programs</t>
  </si>
  <si>
    <t>(1) Salaries - Improvements - G/T Programs</t>
  </si>
  <si>
    <t>a) Director/Supervisors</t>
  </si>
  <si>
    <t>0029345</t>
  </si>
  <si>
    <t>Instructional Staff Services - G/T Programs</t>
  </si>
  <si>
    <t>0029355</t>
  </si>
  <si>
    <t>0029365</t>
  </si>
  <si>
    <t>0029375</t>
  </si>
  <si>
    <t>0029385</t>
  </si>
  <si>
    <t>0029395</t>
  </si>
  <si>
    <t>0029410</t>
  </si>
  <si>
    <t>0029420</t>
  </si>
  <si>
    <t>0029430</t>
  </si>
  <si>
    <t>0029445</t>
  </si>
  <si>
    <t>0029455</t>
  </si>
  <si>
    <t>0029470</t>
  </si>
  <si>
    <t>0029480</t>
  </si>
  <si>
    <t>0029490</t>
  </si>
  <si>
    <t>0029505</t>
  </si>
  <si>
    <t>0029515</t>
  </si>
  <si>
    <t>0029525</t>
  </si>
  <si>
    <t>0029535</t>
  </si>
  <si>
    <t>0029550</t>
  </si>
  <si>
    <t>0029560</t>
  </si>
  <si>
    <t>0029600</t>
  </si>
  <si>
    <t>0029610</t>
  </si>
  <si>
    <t>0029620</t>
  </si>
  <si>
    <t>0029635</t>
  </si>
  <si>
    <t>0029645</t>
  </si>
  <si>
    <t>0029655</t>
  </si>
  <si>
    <t>0029665</t>
  </si>
  <si>
    <t>0029675</t>
  </si>
  <si>
    <t>0029685</t>
  </si>
  <si>
    <t>0029695</t>
  </si>
  <si>
    <t>0029705</t>
  </si>
  <si>
    <t>0029715</t>
  </si>
  <si>
    <t>Other Special Programs -</t>
  </si>
  <si>
    <t>ESSA/NCLB, Bilingual, Headstart, and</t>
  </si>
  <si>
    <t>Early Childhood</t>
  </si>
  <si>
    <t>(1) Salaries - Improvements - Oth Sp Prog</t>
  </si>
  <si>
    <t>0029785</t>
  </si>
  <si>
    <t>Instructional Staff Services - Other Special Programs</t>
  </si>
  <si>
    <t>0029795</t>
  </si>
  <si>
    <t>0029805</t>
  </si>
  <si>
    <t>0029815</t>
  </si>
  <si>
    <t>0029825</t>
  </si>
  <si>
    <t>0029835</t>
  </si>
  <si>
    <t>0029850</t>
  </si>
  <si>
    <t>0029860</t>
  </si>
  <si>
    <t>0029870</t>
  </si>
  <si>
    <t>0029885</t>
  </si>
  <si>
    <t>0029895</t>
  </si>
  <si>
    <t>0029910</t>
  </si>
  <si>
    <t>0029920</t>
  </si>
  <si>
    <t>0029930</t>
  </si>
  <si>
    <t>0029945</t>
  </si>
  <si>
    <t>0029955</t>
  </si>
  <si>
    <t>0029965</t>
  </si>
  <si>
    <t>0029975</t>
  </si>
  <si>
    <t>0029990</t>
  </si>
  <si>
    <t>0030000</t>
  </si>
  <si>
    <t>0030040</t>
  </si>
  <si>
    <t>0030050</t>
  </si>
  <si>
    <t>0030060</t>
  </si>
  <si>
    <t>0030075</t>
  </si>
  <si>
    <t>0030085</t>
  </si>
  <si>
    <t>0030095</t>
  </si>
  <si>
    <t>0030105</t>
  </si>
  <si>
    <t>0030115</t>
  </si>
  <si>
    <t>0030125</t>
  </si>
  <si>
    <t>0030135</t>
  </si>
  <si>
    <t>0030145</t>
  </si>
  <si>
    <t>0030155</t>
  </si>
  <si>
    <t>Career &amp; Technical Education Programs</t>
  </si>
  <si>
    <t>(1) Salaries - Improve. - Career &amp; Tech.</t>
  </si>
  <si>
    <t>0030215</t>
  </si>
  <si>
    <t>Instructional Staff Services - CTE Programs</t>
  </si>
  <si>
    <t>0030225</t>
  </si>
  <si>
    <t>0030235</t>
  </si>
  <si>
    <t>0030245</t>
  </si>
  <si>
    <t>0030255</t>
  </si>
  <si>
    <t>0030265</t>
  </si>
  <si>
    <t>0030280</t>
  </si>
  <si>
    <t>0030290</t>
  </si>
  <si>
    <t>0030300</t>
  </si>
  <si>
    <t>0030315</t>
  </si>
  <si>
    <t>0030325</t>
  </si>
  <si>
    <t>0030340</t>
  </si>
  <si>
    <t>0030350</t>
  </si>
  <si>
    <t>0030360</t>
  </si>
  <si>
    <t>0030375</t>
  </si>
  <si>
    <t>0030385</t>
  </si>
  <si>
    <t>0030395</t>
  </si>
  <si>
    <t>0030405</t>
  </si>
  <si>
    <t>0030420</t>
  </si>
  <si>
    <t>0030430</t>
  </si>
  <si>
    <t>0030480</t>
  </si>
  <si>
    <t>0030490</t>
  </si>
  <si>
    <t>0030500</t>
  </si>
  <si>
    <t>0030515</t>
  </si>
  <si>
    <t>0030525</t>
  </si>
  <si>
    <t>0030535</t>
  </si>
  <si>
    <t>0030545</t>
  </si>
  <si>
    <t>0030555</t>
  </si>
  <si>
    <t>0030565</t>
  </si>
  <si>
    <t>0030575</t>
  </si>
  <si>
    <t>0030585</t>
  </si>
  <si>
    <t>0030595</t>
  </si>
  <si>
    <t>Adult Education Programs</t>
  </si>
  <si>
    <t>(1) Salaries - Improve. - Adult Ed. Prog</t>
  </si>
  <si>
    <t>0030650</t>
  </si>
  <si>
    <t>Instructional Staff Services - Adult Ed Programs</t>
  </si>
  <si>
    <t>0030655</t>
  </si>
  <si>
    <t>0030660</t>
  </si>
  <si>
    <t>0030665</t>
  </si>
  <si>
    <t>0030670</t>
  </si>
  <si>
    <t>0030675</t>
  </si>
  <si>
    <t>0030685</t>
  </si>
  <si>
    <t>0030690</t>
  </si>
  <si>
    <t>0030695</t>
  </si>
  <si>
    <t>0030705</t>
  </si>
  <si>
    <t>0030710</t>
  </si>
  <si>
    <t>0030720</t>
  </si>
  <si>
    <t>0030725</t>
  </si>
  <si>
    <t>0030730</t>
  </si>
  <si>
    <t>0030740</t>
  </si>
  <si>
    <t>0030745</t>
  </si>
  <si>
    <t>0030750</t>
  </si>
  <si>
    <t>0030755</t>
  </si>
  <si>
    <t>0030765</t>
  </si>
  <si>
    <t>0030770</t>
  </si>
  <si>
    <t>0030780</t>
  </si>
  <si>
    <t>0030785</t>
  </si>
  <si>
    <t>0030790</t>
  </si>
  <si>
    <t>0030800</t>
  </si>
  <si>
    <t>0030805</t>
  </si>
  <si>
    <t>0030810</t>
  </si>
  <si>
    <t>0030815</t>
  </si>
  <si>
    <t>0030820</t>
  </si>
  <si>
    <t>0030825</t>
  </si>
  <si>
    <t>0030830</t>
  </si>
  <si>
    <t>0030835</t>
  </si>
  <si>
    <t>0030840</t>
  </si>
  <si>
    <t>Improvement of Other Educational Programs</t>
  </si>
  <si>
    <t>(1) Salaries - Improve. - Other Ed. Prog.</t>
  </si>
  <si>
    <t>(a) Director/Super. (e.g., JROTC CO)</t>
  </si>
  <si>
    <t>0030865</t>
  </si>
  <si>
    <t>Instructional Staff Services - Improvement of Other Educational Programs</t>
  </si>
  <si>
    <t>Director/Super. (e.g., JROTC CO)</t>
  </si>
  <si>
    <t>0030875</t>
  </si>
  <si>
    <t>0030885</t>
  </si>
  <si>
    <t>0030895</t>
  </si>
  <si>
    <t>0030905</t>
  </si>
  <si>
    <t>0030915</t>
  </si>
  <si>
    <t>0030930</t>
  </si>
  <si>
    <t>0030940</t>
  </si>
  <si>
    <t>0030950</t>
  </si>
  <si>
    <t>0030965</t>
  </si>
  <si>
    <t>0030975</t>
  </si>
  <si>
    <t>0030990</t>
  </si>
  <si>
    <t>0031000</t>
  </si>
  <si>
    <t>0031010</t>
  </si>
  <si>
    <t>0031025</t>
  </si>
  <si>
    <t>0031035</t>
  </si>
  <si>
    <t>0031045</t>
  </si>
  <si>
    <t>0031055</t>
  </si>
  <si>
    <t>0031070</t>
  </si>
  <si>
    <t>0031080</t>
  </si>
  <si>
    <t>0031130</t>
  </si>
  <si>
    <t>0031140</t>
  </si>
  <si>
    <t>0031150</t>
  </si>
  <si>
    <t>0031165</t>
  </si>
  <si>
    <t>0031175</t>
  </si>
  <si>
    <t>0031185</t>
  </si>
  <si>
    <t>0031195</t>
  </si>
  <si>
    <t>0031205</t>
  </si>
  <si>
    <t>0031215</t>
  </si>
  <si>
    <t>0031225</t>
  </si>
  <si>
    <t>0031235</t>
  </si>
  <si>
    <t>0031245</t>
  </si>
  <si>
    <t>Instruction &amp; Curriculum Development Svcs (2220)</t>
  </si>
  <si>
    <t>Salaries - Instr. &amp; Curr. Dev. Svcs.</t>
  </si>
  <si>
    <t>(1) Director/Supervisors</t>
  </si>
  <si>
    <t>0031305</t>
  </si>
  <si>
    <t>Instructional Staff Services - Instruction &amp; Curriculum Development Svcs</t>
  </si>
  <si>
    <t>(2) Specialists</t>
  </si>
  <si>
    <t>0031315</t>
  </si>
  <si>
    <t>0031325</t>
  </si>
  <si>
    <t>0031335</t>
  </si>
  <si>
    <t>0031345</t>
  </si>
  <si>
    <t>0031355</t>
  </si>
  <si>
    <t>0031370</t>
  </si>
  <si>
    <t>0031380</t>
  </si>
  <si>
    <t>0031390</t>
  </si>
  <si>
    <t>0031405</t>
  </si>
  <si>
    <t>0031415</t>
  </si>
  <si>
    <t>0031430</t>
  </si>
  <si>
    <t>0031440</t>
  </si>
  <si>
    <t>(3) Books and Periodicals</t>
  </si>
  <si>
    <t>0031450</t>
  </si>
  <si>
    <t>Books and Periodicals</t>
  </si>
  <si>
    <t>0031460</t>
  </si>
  <si>
    <t>0031475</t>
  </si>
  <si>
    <t>0031485</t>
  </si>
  <si>
    <t>0031495</t>
  </si>
  <si>
    <t>0031505</t>
  </si>
  <si>
    <t>0031520</t>
  </si>
  <si>
    <t>0031530</t>
  </si>
  <si>
    <t>0031580</t>
  </si>
  <si>
    <t>0031590</t>
  </si>
  <si>
    <t>0031600</t>
  </si>
  <si>
    <t>0031615</t>
  </si>
  <si>
    <t>0031625</t>
  </si>
  <si>
    <t>0031635</t>
  </si>
  <si>
    <t>0031645</t>
  </si>
  <si>
    <t>0031655</t>
  </si>
  <si>
    <t>0031665</t>
  </si>
  <si>
    <t>0031675</t>
  </si>
  <si>
    <t>0031685</t>
  </si>
  <si>
    <t>0031695</t>
  </si>
  <si>
    <t>Instructional Staff Training Services (2230)</t>
  </si>
  <si>
    <t>Staff Training - Regular Education</t>
  </si>
  <si>
    <t>(1) Salaries - Staff Training - Reg. Ed.</t>
  </si>
  <si>
    <t>0031760</t>
  </si>
  <si>
    <t>Instructional Staff Services - Instructional Staff Training Services</t>
  </si>
  <si>
    <t>(b) Staff Instructors</t>
  </si>
  <si>
    <t>0031770</t>
  </si>
  <si>
    <t>Staff Instructors</t>
  </si>
  <si>
    <t>(c) Specialists</t>
  </si>
  <si>
    <t>0031780</t>
  </si>
  <si>
    <t>0031790</t>
  </si>
  <si>
    <t>0031800</t>
  </si>
  <si>
    <t>(f) Stipend Pay</t>
  </si>
  <si>
    <t>0031810</t>
  </si>
  <si>
    <t>Stipend Pay</t>
  </si>
  <si>
    <t>(2) Purchased Professional and Tech Svcs</t>
  </si>
  <si>
    <t>0031820</t>
  </si>
  <si>
    <t>Purchased Professional and Tech Svcs</t>
  </si>
  <si>
    <t>0031835</t>
  </si>
  <si>
    <t>0031845</t>
  </si>
  <si>
    <t>0031855</t>
  </si>
  <si>
    <t>0031870</t>
  </si>
  <si>
    <t>0031880</t>
  </si>
  <si>
    <t>0031895</t>
  </si>
  <si>
    <t>0031905</t>
  </si>
  <si>
    <t>0031915</t>
  </si>
  <si>
    <t>0031930</t>
  </si>
  <si>
    <t>0031940</t>
  </si>
  <si>
    <t>0031950</t>
  </si>
  <si>
    <t>0031960</t>
  </si>
  <si>
    <t>0031975</t>
  </si>
  <si>
    <t>0031985</t>
  </si>
  <si>
    <t>0032030</t>
  </si>
  <si>
    <t>0032040</t>
  </si>
  <si>
    <t>0032050</t>
  </si>
  <si>
    <t>0032065</t>
  </si>
  <si>
    <t>0032075</t>
  </si>
  <si>
    <t>0032085</t>
  </si>
  <si>
    <t>(e) Educational Reimbursement</t>
  </si>
  <si>
    <t>0032095</t>
  </si>
  <si>
    <t>Educational Reimbursement</t>
  </si>
  <si>
    <t>(f) Unemployment Compensation</t>
  </si>
  <si>
    <t>0032105</t>
  </si>
  <si>
    <t>(g) Workmen's Compensation</t>
  </si>
  <si>
    <t>0032115</t>
  </si>
  <si>
    <t>(h) Health Benefits (retirees)</t>
  </si>
  <si>
    <t>0032125</t>
  </si>
  <si>
    <t>(i) Sick Leave Severance Pay</t>
  </si>
  <si>
    <t>0032135</t>
  </si>
  <si>
    <t>(j) Annual Leave Severance Pay</t>
  </si>
  <si>
    <t>0032145</t>
  </si>
  <si>
    <t>(k) Other Employee Benefits</t>
  </si>
  <si>
    <t>0032155</t>
  </si>
  <si>
    <t>Staff Training - Sp. Ed. - Special Needs</t>
  </si>
  <si>
    <t>(1) Salaries - Staff Training - Sp. Ed.</t>
  </si>
  <si>
    <t>0032205</t>
  </si>
  <si>
    <t>Instructional Staff Services -Staff Training - Sp. Ed.</t>
  </si>
  <si>
    <t>0032215</t>
  </si>
  <si>
    <t>0032225</t>
  </si>
  <si>
    <t>0032235</t>
  </si>
  <si>
    <t>0032245</t>
  </si>
  <si>
    <t>0032255</t>
  </si>
  <si>
    <t>0032265</t>
  </si>
  <si>
    <t>0032280</t>
  </si>
  <si>
    <t>0032290</t>
  </si>
  <si>
    <t>0032300</t>
  </si>
  <si>
    <t>0032315</t>
  </si>
  <si>
    <t>0032325</t>
  </si>
  <si>
    <t>0032340</t>
  </si>
  <si>
    <t>0032350</t>
  </si>
  <si>
    <t>0032360</t>
  </si>
  <si>
    <t>0032375</t>
  </si>
  <si>
    <t>0032385</t>
  </si>
  <si>
    <t>0032395</t>
  </si>
  <si>
    <t>0032405</t>
  </si>
  <si>
    <t>0032420</t>
  </si>
  <si>
    <t>0032430</t>
  </si>
  <si>
    <t>0032555</t>
  </si>
  <si>
    <t>0032565</t>
  </si>
  <si>
    <t>0032575</t>
  </si>
  <si>
    <t>0032590</t>
  </si>
  <si>
    <t>0032600</t>
  </si>
  <si>
    <t>0032610</t>
  </si>
  <si>
    <t>0032620</t>
  </si>
  <si>
    <t>0032630</t>
  </si>
  <si>
    <t>0032640</t>
  </si>
  <si>
    <t>0032650</t>
  </si>
  <si>
    <t>0032660</t>
  </si>
  <si>
    <t>0032670</t>
  </si>
  <si>
    <t>0032680</t>
  </si>
  <si>
    <t>Staff Training - Gifted and Talented Prog</t>
  </si>
  <si>
    <t>(1) Salaries - Staff Training - G/T Prog</t>
  </si>
  <si>
    <t>0032745</t>
  </si>
  <si>
    <t>Instructional Staff Services -Staff Training - G/T</t>
  </si>
  <si>
    <t>0032755</t>
  </si>
  <si>
    <t>0032765</t>
  </si>
  <si>
    <t>0032775</t>
  </si>
  <si>
    <t>0032785</t>
  </si>
  <si>
    <t>0032795</t>
  </si>
  <si>
    <t>0032805</t>
  </si>
  <si>
    <t>0032820</t>
  </si>
  <si>
    <t>0032830</t>
  </si>
  <si>
    <t>0032840</t>
  </si>
  <si>
    <t>0032855</t>
  </si>
  <si>
    <t>0032865</t>
  </si>
  <si>
    <t>0032880</t>
  </si>
  <si>
    <t>0032890</t>
  </si>
  <si>
    <t>0032900</t>
  </si>
  <si>
    <t>0032915</t>
  </si>
  <si>
    <t>0032925</t>
  </si>
  <si>
    <t>0032935</t>
  </si>
  <si>
    <t>0032945</t>
  </si>
  <si>
    <t>0032960</t>
  </si>
  <si>
    <t>0032970</t>
  </si>
  <si>
    <t>0033010</t>
  </si>
  <si>
    <t>0033020</t>
  </si>
  <si>
    <t>0033030</t>
  </si>
  <si>
    <t>0033045</t>
  </si>
  <si>
    <t>0033055</t>
  </si>
  <si>
    <t>0033065</t>
  </si>
  <si>
    <t>0033075</t>
  </si>
  <si>
    <t>0033085</t>
  </si>
  <si>
    <t>0033095</t>
  </si>
  <si>
    <t>0033105</t>
  </si>
  <si>
    <t>0033115</t>
  </si>
  <si>
    <t>0033125</t>
  </si>
  <si>
    <t>0033135</t>
  </si>
  <si>
    <t>Staff Training - Other Special Prog -</t>
  </si>
  <si>
    <t>ESSA/NCLB, Bilingual,Headstart and</t>
  </si>
  <si>
    <t>Early Childhood Prog</t>
  </si>
  <si>
    <t>(1) Salaries</t>
  </si>
  <si>
    <t>0033205</t>
  </si>
  <si>
    <t>Instructional Staff Services -Staff Training - Other Special Programs</t>
  </si>
  <si>
    <t>0033215</t>
  </si>
  <si>
    <t>0033225</t>
  </si>
  <si>
    <t>0033235</t>
  </si>
  <si>
    <t>0033245</t>
  </si>
  <si>
    <t>0033255</t>
  </si>
  <si>
    <t>0033265</t>
  </si>
  <si>
    <t>0033280</t>
  </si>
  <si>
    <t>0033290</t>
  </si>
  <si>
    <t>0033300</t>
  </si>
  <si>
    <t>0033315</t>
  </si>
  <si>
    <t>0033325</t>
  </si>
  <si>
    <t>0033340</t>
  </si>
  <si>
    <t>0033350</t>
  </si>
  <si>
    <t>0033360</t>
  </si>
  <si>
    <t>0033375</t>
  </si>
  <si>
    <t>0033385</t>
  </si>
  <si>
    <t>0033395</t>
  </si>
  <si>
    <t>0033405</t>
  </si>
  <si>
    <t>0033420</t>
  </si>
  <si>
    <t>0033430</t>
  </si>
  <si>
    <t>0033480</t>
  </si>
  <si>
    <t>0033490</t>
  </si>
  <si>
    <t>0033500</t>
  </si>
  <si>
    <t>0033515</t>
  </si>
  <si>
    <t>0033525</t>
  </si>
  <si>
    <t>0033535</t>
  </si>
  <si>
    <t>0033545</t>
  </si>
  <si>
    <t>0033555</t>
  </si>
  <si>
    <t>0033565</t>
  </si>
  <si>
    <t>0033575</t>
  </si>
  <si>
    <t>0033585</t>
  </si>
  <si>
    <t>0033595</t>
  </si>
  <si>
    <t>0033605</t>
  </si>
  <si>
    <t>Staff Training - Career &amp; Tech Ed. Prog</t>
  </si>
  <si>
    <t>0033665</t>
  </si>
  <si>
    <t>Instructional Staff Services -Staff Training - CTE Programs</t>
  </si>
  <si>
    <t>0033675</t>
  </si>
  <si>
    <t>0033685</t>
  </si>
  <si>
    <t>0033695</t>
  </si>
  <si>
    <t>0033705</t>
  </si>
  <si>
    <t>0033715</t>
  </si>
  <si>
    <t>0033725</t>
  </si>
  <si>
    <t>0033740</t>
  </si>
  <si>
    <t>0033750</t>
  </si>
  <si>
    <t>0033760</t>
  </si>
  <si>
    <t>0033775</t>
  </si>
  <si>
    <t>0033785</t>
  </si>
  <si>
    <t>0033800</t>
  </si>
  <si>
    <t>0033810</t>
  </si>
  <si>
    <t>0033820</t>
  </si>
  <si>
    <t>0033835</t>
  </si>
  <si>
    <t>0033845</t>
  </si>
  <si>
    <t>0033855</t>
  </si>
  <si>
    <t>0033865</t>
  </si>
  <si>
    <t>0033880</t>
  </si>
  <si>
    <t>0033890</t>
  </si>
  <si>
    <t>0033950</t>
  </si>
  <si>
    <t>0033960</t>
  </si>
  <si>
    <t>0033970</t>
  </si>
  <si>
    <t>0033985</t>
  </si>
  <si>
    <t>0033995</t>
  </si>
  <si>
    <t>0034005</t>
  </si>
  <si>
    <t>0034015</t>
  </si>
  <si>
    <t>0034025</t>
  </si>
  <si>
    <t>0034035</t>
  </si>
  <si>
    <t>0034045</t>
  </si>
  <si>
    <t>0034055</t>
  </si>
  <si>
    <t>0034065</t>
  </si>
  <si>
    <t>0034075</t>
  </si>
  <si>
    <t>Staff Training - Adult Education Program</t>
  </si>
  <si>
    <t>0034135</t>
  </si>
  <si>
    <t>Instructional Staff Services -Staff Training - Adult Ed Programs</t>
  </si>
  <si>
    <t>0034145</t>
  </si>
  <si>
    <t>0034155</t>
  </si>
  <si>
    <t>0034165</t>
  </si>
  <si>
    <t>0034175</t>
  </si>
  <si>
    <t>0034185</t>
  </si>
  <si>
    <t>0034195</t>
  </si>
  <si>
    <t>0034210</t>
  </si>
  <si>
    <t>0034220</t>
  </si>
  <si>
    <t>0034230</t>
  </si>
  <si>
    <t>0034245</t>
  </si>
  <si>
    <t>0034255</t>
  </si>
  <si>
    <t>0034270</t>
  </si>
  <si>
    <t>0034280</t>
  </si>
  <si>
    <t>0034290</t>
  </si>
  <si>
    <t>0034305</t>
  </si>
  <si>
    <t>0034315</t>
  </si>
  <si>
    <t>0034325</t>
  </si>
  <si>
    <t>0034335</t>
  </si>
  <si>
    <t>0034350</t>
  </si>
  <si>
    <t>0034360</t>
  </si>
  <si>
    <t>0034410</t>
  </si>
  <si>
    <t>0034420</t>
  </si>
  <si>
    <t>0034430</t>
  </si>
  <si>
    <t>0034445</t>
  </si>
  <si>
    <t>0034455</t>
  </si>
  <si>
    <t>0034465</t>
  </si>
  <si>
    <t>0034475</t>
  </si>
  <si>
    <t>0034485</t>
  </si>
  <si>
    <t>0034495</t>
  </si>
  <si>
    <t>0034505</t>
  </si>
  <si>
    <t>0034515</t>
  </si>
  <si>
    <t>0034525</t>
  </si>
  <si>
    <t>0034535</t>
  </si>
  <si>
    <t>Staff Training - Other Education Program</t>
  </si>
  <si>
    <t>0034585</t>
  </si>
  <si>
    <t>Instructional Staff Services -Staff Training - Other Programs</t>
  </si>
  <si>
    <t>0034595</t>
  </si>
  <si>
    <t>0034605</t>
  </si>
  <si>
    <t>0034615</t>
  </si>
  <si>
    <t>0034625</t>
  </si>
  <si>
    <t>0034635</t>
  </si>
  <si>
    <t>0034645</t>
  </si>
  <si>
    <t>0034660</t>
  </si>
  <si>
    <t>0034670</t>
  </si>
  <si>
    <t>0034680</t>
  </si>
  <si>
    <t>0034695</t>
  </si>
  <si>
    <t>0034705</t>
  </si>
  <si>
    <t>0034720</t>
  </si>
  <si>
    <t>0034730</t>
  </si>
  <si>
    <t>0034740</t>
  </si>
  <si>
    <t>0034755</t>
  </si>
  <si>
    <t>0034765</t>
  </si>
  <si>
    <t>0034775</t>
  </si>
  <si>
    <t>0034785</t>
  </si>
  <si>
    <t>0034800</t>
  </si>
  <si>
    <t>0034810</t>
  </si>
  <si>
    <t>0034870</t>
  </si>
  <si>
    <t>0034880</t>
  </si>
  <si>
    <t>0034890</t>
  </si>
  <si>
    <t>0034905</t>
  </si>
  <si>
    <t>0034915</t>
  </si>
  <si>
    <t>0034925</t>
  </si>
  <si>
    <t>0034935</t>
  </si>
  <si>
    <t>0034945</t>
  </si>
  <si>
    <t>0034955</t>
  </si>
  <si>
    <t>0034965</t>
  </si>
  <si>
    <t>0034975</t>
  </si>
  <si>
    <t>0034985</t>
  </si>
  <si>
    <t>0034995</t>
  </si>
  <si>
    <t>Library / Media Services (2250)</t>
  </si>
  <si>
    <t>School Library/Media Services</t>
  </si>
  <si>
    <t>(a) Dir/Super. - Cen. Library Svcs</t>
  </si>
  <si>
    <t>0035060</t>
  </si>
  <si>
    <t>Instructional Staff Services - Library/Media Services</t>
  </si>
  <si>
    <t>Dir/Super. - Cen. Library Svcs</t>
  </si>
  <si>
    <t>(b) Head Librarian/Librarian - Sch.</t>
  </si>
  <si>
    <t>0035070</t>
  </si>
  <si>
    <t>Head Librarian/Librarian - Sch.</t>
  </si>
  <si>
    <t>(c) Library Specialists</t>
  </si>
  <si>
    <t>0035080</t>
  </si>
  <si>
    <t>Library Specialists</t>
  </si>
  <si>
    <t>(d) Clerical/Secretarial</t>
  </si>
  <si>
    <t>0035090</t>
  </si>
  <si>
    <t>(e) Library/Media Aides</t>
  </si>
  <si>
    <t>0035100</t>
  </si>
  <si>
    <t>Library/Media Aides</t>
  </si>
  <si>
    <t>(f) Other Salaries</t>
  </si>
  <si>
    <t>0035110</t>
  </si>
  <si>
    <t>(g) Sabbatical Leave</t>
  </si>
  <si>
    <t>0035120</t>
  </si>
  <si>
    <t>0035130</t>
  </si>
  <si>
    <t>0035145</t>
  </si>
  <si>
    <t>0035155</t>
  </si>
  <si>
    <t>0035165</t>
  </si>
  <si>
    <t>0035180</t>
  </si>
  <si>
    <t>0035190</t>
  </si>
  <si>
    <t>0035205</t>
  </si>
  <si>
    <t>0035215</t>
  </si>
  <si>
    <t>(c) Books and Periodicals</t>
  </si>
  <si>
    <t>0035225</t>
  </si>
  <si>
    <t>(d) Other Supplies</t>
  </si>
  <si>
    <t>0035235</t>
  </si>
  <si>
    <t>0035250</t>
  </si>
  <si>
    <t>0035260</t>
  </si>
  <si>
    <t>0035270</t>
  </si>
  <si>
    <t>0035280</t>
  </si>
  <si>
    <t>0035295</t>
  </si>
  <si>
    <t>0035305</t>
  </si>
  <si>
    <t>Other Educational Media Services</t>
  </si>
  <si>
    <t>(a) Supervisors</t>
  </si>
  <si>
    <t>0035345</t>
  </si>
  <si>
    <t>Instructional Staff Services - Other Educational Media Services</t>
  </si>
  <si>
    <t>(b) Media-Based Teacher (Ed TV, CAI)</t>
  </si>
  <si>
    <t>0035355</t>
  </si>
  <si>
    <t>Media-Based Teacher (Ed TV, CAI)</t>
  </si>
  <si>
    <t>0035365</t>
  </si>
  <si>
    <t>0035375</t>
  </si>
  <si>
    <t>(e) Other Salaries - Ed. Media Svcs</t>
  </si>
  <si>
    <t>0035385</t>
  </si>
  <si>
    <t>Other Salaries - Ed. Media Svcs</t>
  </si>
  <si>
    <t>(f) Sabbatical Leave</t>
  </si>
  <si>
    <t>0035395</t>
  </si>
  <si>
    <t>0035405</t>
  </si>
  <si>
    <t>0035420</t>
  </si>
  <si>
    <t>0035430</t>
  </si>
  <si>
    <t>0035440</t>
  </si>
  <si>
    <t>0035455</t>
  </si>
  <si>
    <t>0035465</t>
  </si>
  <si>
    <t>0035480</t>
  </si>
  <si>
    <t>0035490</t>
  </si>
  <si>
    <t>0035500</t>
  </si>
  <si>
    <t>0035510</t>
  </si>
  <si>
    <t>0035525</t>
  </si>
  <si>
    <t>0035535</t>
  </si>
  <si>
    <t>0035545</t>
  </si>
  <si>
    <t>0035555</t>
  </si>
  <si>
    <t>0035570</t>
  </si>
  <si>
    <t>0035580</t>
  </si>
  <si>
    <t>(8) Employee Benefits (Lib./Media Svcs)</t>
  </si>
  <si>
    <t>0035610</t>
  </si>
  <si>
    <t>0035620</t>
  </si>
  <si>
    <t>0035630</t>
  </si>
  <si>
    <t>0035645</t>
  </si>
  <si>
    <t>0035655</t>
  </si>
  <si>
    <t>0035665</t>
  </si>
  <si>
    <t>0035675</t>
  </si>
  <si>
    <t>0035685</t>
  </si>
  <si>
    <t>0035695</t>
  </si>
  <si>
    <t>0035705</t>
  </si>
  <si>
    <t>0035715</t>
  </si>
  <si>
    <t>0035725</t>
  </si>
  <si>
    <t>Other Instructional Staff Services (2290)</t>
  </si>
  <si>
    <t>Salaries - All Other Instructional</t>
  </si>
  <si>
    <t>0035785</t>
  </si>
  <si>
    <t>Other Instructional Staff Services</t>
  </si>
  <si>
    <t>0035795</t>
  </si>
  <si>
    <t>0035805</t>
  </si>
  <si>
    <t>0035815</t>
  </si>
  <si>
    <t>(5) Substitute/Temporary Employees</t>
  </si>
  <si>
    <t>0035825</t>
  </si>
  <si>
    <t>0035835</t>
  </si>
  <si>
    <t>0035845</t>
  </si>
  <si>
    <t>0035860</t>
  </si>
  <si>
    <t>0035870</t>
  </si>
  <si>
    <t>0035880</t>
  </si>
  <si>
    <t>0035895</t>
  </si>
  <si>
    <t>0035905</t>
  </si>
  <si>
    <t>0035920</t>
  </si>
  <si>
    <t>0035930</t>
  </si>
  <si>
    <t>0035940</t>
  </si>
  <si>
    <t>0035955</t>
  </si>
  <si>
    <t>0035965</t>
  </si>
  <si>
    <t>0035975</t>
  </si>
  <si>
    <t>0035985</t>
  </si>
  <si>
    <t>0036000</t>
  </si>
  <si>
    <t>0036010</t>
  </si>
  <si>
    <t>0036070</t>
  </si>
  <si>
    <t>0036080</t>
  </si>
  <si>
    <t>0036090</t>
  </si>
  <si>
    <t>0036105</t>
  </si>
  <si>
    <t>0036115</t>
  </si>
  <si>
    <t>0036125</t>
  </si>
  <si>
    <t>0036135</t>
  </si>
  <si>
    <t>0036145</t>
  </si>
  <si>
    <t>0036155</t>
  </si>
  <si>
    <t>0036165</t>
  </si>
  <si>
    <t>0036175</t>
  </si>
  <si>
    <t>0036185</t>
  </si>
  <si>
    <t>TOTAL B. Instructional Staff Services</t>
  </si>
  <si>
    <t>Board of Education Services</t>
  </si>
  <si>
    <t>(1) Board Members</t>
  </si>
  <si>
    <t>0036840</t>
  </si>
  <si>
    <t>Board Members</t>
  </si>
  <si>
    <t>(2) Board Attorneys</t>
  </si>
  <si>
    <t>0036850</t>
  </si>
  <si>
    <t>Board Attorneys</t>
  </si>
  <si>
    <t>(3) Board Secretary</t>
  </si>
  <si>
    <t>0036860</t>
  </si>
  <si>
    <t>Board Secretary</t>
  </si>
  <si>
    <t>(4) Supervisors - Tax Assess &amp; Collect</t>
  </si>
  <si>
    <t>0036870</t>
  </si>
  <si>
    <t>Supervisors - Tax Assess &amp; Collect</t>
  </si>
  <si>
    <t>(5) Clerical/Sec. - Tax Assess &amp; Collect</t>
  </si>
  <si>
    <t>0036880</t>
  </si>
  <si>
    <t>Clerical/Sec. - Tax Assess &amp; Collect</t>
  </si>
  <si>
    <t>(6) Other Tax Assess &amp; Collect Salaries</t>
  </si>
  <si>
    <t>0036890</t>
  </si>
  <si>
    <t>Other Tax Assess &amp; Collect Salaries</t>
  </si>
  <si>
    <t>(7) Sub/Temp Employees - Board of Ed Svcs</t>
  </si>
  <si>
    <t>0036900</t>
  </si>
  <si>
    <t>Sub/Temp Employees - Board of Ed Svcs</t>
  </si>
  <si>
    <t>(8) Other Board of Ed. Svcs Salaries</t>
  </si>
  <si>
    <t>0036910</t>
  </si>
  <si>
    <t>Other Board of Ed. Svcs Salaries</t>
  </si>
  <si>
    <t>(9) Sabbatial Leave</t>
  </si>
  <si>
    <t>0036920</t>
  </si>
  <si>
    <t>Sabbatial Leave</t>
  </si>
  <si>
    <t>(1) Purchased Official / Admin. Services</t>
  </si>
  <si>
    <t>(a) Assessor Fees</t>
  </si>
  <si>
    <t>0036940</t>
  </si>
  <si>
    <t>Assessor Fees</t>
  </si>
  <si>
    <t>(b) Sheriff Tax Collection Fees</t>
  </si>
  <si>
    <t>0036950</t>
  </si>
  <si>
    <t>Sheriff Tax Collection Fees</t>
  </si>
  <si>
    <t>(c) Pension Accumulation Fund</t>
  </si>
  <si>
    <t>0036960</t>
  </si>
  <si>
    <t>Pension Accumulation Fund</t>
  </si>
  <si>
    <t>(d) Sales Tax Collection Fees</t>
  </si>
  <si>
    <t>0036970</t>
  </si>
  <si>
    <t>Sales Tax Collection Fees</t>
  </si>
  <si>
    <t>(e) State Tax Commission Fees</t>
  </si>
  <si>
    <t>0036980</t>
  </si>
  <si>
    <t>State Tax Commission Fees</t>
  </si>
  <si>
    <t>(f) Election Fees</t>
  </si>
  <si>
    <t>0036990</t>
  </si>
  <si>
    <t>Election Fees</t>
  </si>
  <si>
    <t>(g) Management Consultants</t>
  </si>
  <si>
    <t>0037000</t>
  </si>
  <si>
    <t>Management Consultants</t>
  </si>
  <si>
    <t>(h) Other Service Fees</t>
  </si>
  <si>
    <t>0037010</t>
  </si>
  <si>
    <t>Other Service Fees</t>
  </si>
  <si>
    <t>(2) Other Purchased Professional Services</t>
  </si>
  <si>
    <t>(a) Legal Services</t>
  </si>
  <si>
    <t>0037025</t>
  </si>
  <si>
    <t>(b) Audit Services</t>
  </si>
  <si>
    <t>0037035</t>
  </si>
  <si>
    <t>Audit Services</t>
  </si>
  <si>
    <t>(3) Other Purchased Prof. and Tech. Svcs</t>
  </si>
  <si>
    <t>0037045</t>
  </si>
  <si>
    <t>Other Purchased Prof. and Tech. Svcs</t>
  </si>
  <si>
    <t>0037060</t>
  </si>
  <si>
    <t>(2) Other Purchased Property Services</t>
  </si>
  <si>
    <t>0037070</t>
  </si>
  <si>
    <t>(1) Insurance (Other than Emp. Benefits)</t>
  </si>
  <si>
    <t>(a) Liability Insurance</t>
  </si>
  <si>
    <t>0037090</t>
  </si>
  <si>
    <t>Liability Insurance</t>
  </si>
  <si>
    <t>(b) Errors and Omissions</t>
  </si>
  <si>
    <t>0037100</t>
  </si>
  <si>
    <t>Errors and Omissions</t>
  </si>
  <si>
    <t>(c) Faithful Performance</t>
  </si>
  <si>
    <t>0037110</t>
  </si>
  <si>
    <t>Faithful Performance</t>
  </si>
  <si>
    <t>(2) Communications (phone/internet/post)</t>
  </si>
  <si>
    <t>0037120</t>
  </si>
  <si>
    <t>Communications</t>
  </si>
  <si>
    <t>(3) Advertising/Public Notices/Bd Minutes</t>
  </si>
  <si>
    <t>0037130</t>
  </si>
  <si>
    <t>Advertising/Public Notices/Bd Minutes</t>
  </si>
  <si>
    <t>(4) Travel</t>
  </si>
  <si>
    <t>(a) Mileage Allowance - Tax A &amp; C Svcs</t>
  </si>
  <si>
    <t>0037140</t>
  </si>
  <si>
    <t>Mileage Allowance - Tax A &amp; C Svcs</t>
  </si>
  <si>
    <t>(b) Mileage Allowance - Other</t>
  </si>
  <si>
    <t>0037145</t>
  </si>
  <si>
    <t>Mileage Allowance - Other</t>
  </si>
  <si>
    <t>(c) Travel Expense Reimburse. - Tax A &amp; C</t>
  </si>
  <si>
    <t>0037150</t>
  </si>
  <si>
    <t>Travel Expense Reimburse. - Tax A &amp; C</t>
  </si>
  <si>
    <t>(d) Travel Expense Reimbursement - Other</t>
  </si>
  <si>
    <t>0037155</t>
  </si>
  <si>
    <t>Travel Expense Reimbursement - Other</t>
  </si>
  <si>
    <t>(5) Other Purchased Services</t>
  </si>
  <si>
    <t>0037165</t>
  </si>
  <si>
    <t>(1) Technology-Related Supplies - Tax A &amp; C</t>
  </si>
  <si>
    <t>0037175</t>
  </si>
  <si>
    <t>Technology-Related Supplies - Tax A &amp; C</t>
  </si>
  <si>
    <t>(2) Technology-Related Supplies - Other</t>
  </si>
  <si>
    <t>0037180</t>
  </si>
  <si>
    <t>Technology-Related Supplies - Other</t>
  </si>
  <si>
    <t>(3) Materials and Supplies - Tax A &amp; C Svcs</t>
  </si>
  <si>
    <t>0037185</t>
  </si>
  <si>
    <t>Materials and Supplies - Tax A &amp; C Svcs</t>
  </si>
  <si>
    <t>(4) Materials and Supplies - Other</t>
  </si>
  <si>
    <t>0037190</t>
  </si>
  <si>
    <t>Materials and Supplies - Other</t>
  </si>
  <si>
    <t>(5) Other Supplies - Tax A &amp; C Svcs</t>
  </si>
  <si>
    <t>0037195</t>
  </si>
  <si>
    <t>Other Supplies - Tax A &amp; C Svcs</t>
  </si>
  <si>
    <t>(6) Other Supplies - Other</t>
  </si>
  <si>
    <t>0037200</t>
  </si>
  <si>
    <t>Other Supplies - Other</t>
  </si>
  <si>
    <t>0037215</t>
  </si>
  <si>
    <t>0037225</t>
  </si>
  <si>
    <t>0037235</t>
  </si>
  <si>
    <t>0037245</t>
  </si>
  <si>
    <t>Debt Service and Miscellaneous</t>
  </si>
  <si>
    <t>(1) Dues and Fees</t>
  </si>
  <si>
    <t>0037260</t>
  </si>
  <si>
    <t>(2) Judgements</t>
  </si>
  <si>
    <t>0037270</t>
  </si>
  <si>
    <t>Judgements</t>
  </si>
  <si>
    <t>(3) Miscellaneous Non-Public Expenditures</t>
  </si>
  <si>
    <t>0037280</t>
  </si>
  <si>
    <t>(4) Miscellaneous Expenditures</t>
  </si>
  <si>
    <t>0037290</t>
  </si>
  <si>
    <t>Miscellaneous Expenditures</t>
  </si>
  <si>
    <t>0037325</t>
  </si>
  <si>
    <t>0037335</t>
  </si>
  <si>
    <t>0037345</t>
  </si>
  <si>
    <t>0037360</t>
  </si>
  <si>
    <t>0037370</t>
  </si>
  <si>
    <t>0037380</t>
  </si>
  <si>
    <t>0037390</t>
  </si>
  <si>
    <t>0037400</t>
  </si>
  <si>
    <t>0037410</t>
  </si>
  <si>
    <t>0037420</t>
  </si>
  <si>
    <t>0037430</t>
  </si>
  <si>
    <t>0037440</t>
  </si>
  <si>
    <t>Executive Administrative Services</t>
  </si>
  <si>
    <t>(1) Superintendent</t>
  </si>
  <si>
    <t>0037505</t>
  </si>
  <si>
    <t>Superintendent</t>
  </si>
  <si>
    <t>(2) Clerical/Sec. - Office of Super.</t>
  </si>
  <si>
    <t>0037515</t>
  </si>
  <si>
    <t>Clerical/Sec. - Office of Super.</t>
  </si>
  <si>
    <t>(3) Deputy/Assoc./Assist. Superintendents</t>
  </si>
  <si>
    <t>0037525</t>
  </si>
  <si>
    <t>Deputy/Assoc./Assist. Superintendents</t>
  </si>
  <si>
    <t>(4) Clerical/Sec. - Dep/Assoc/Assist Sup</t>
  </si>
  <si>
    <t>0037535</t>
  </si>
  <si>
    <t>Clerical/Sec. - Dep/Assoc/Assist Sup</t>
  </si>
  <si>
    <t>(5) Other Salaries - Exec. Admin. Svcs</t>
  </si>
  <si>
    <t>0037545</t>
  </si>
  <si>
    <t>Other Salaries - Exec. Admin. Svcs</t>
  </si>
  <si>
    <t>0037555</t>
  </si>
  <si>
    <t>0037565</t>
  </si>
  <si>
    <t>0037580</t>
  </si>
  <si>
    <t>0037590</t>
  </si>
  <si>
    <t>0037600</t>
  </si>
  <si>
    <t>(1) Communications (phone/internet/post)</t>
  </si>
  <si>
    <t>0037615</t>
  </si>
  <si>
    <t>(2) Travel</t>
  </si>
  <si>
    <t>(a) Mileage Allowance</t>
  </si>
  <si>
    <t>0037630</t>
  </si>
  <si>
    <t>Mileage Allowance</t>
  </si>
  <si>
    <t>(b) Travel Expense Reimbursement</t>
  </si>
  <si>
    <t>0037640</t>
  </si>
  <si>
    <t>(3) Interagency Purchased Services From</t>
  </si>
  <si>
    <t>(a) LEA W/I State (No Tuition/Trans)</t>
  </si>
  <si>
    <t>0037655</t>
  </si>
  <si>
    <t>LEA W/I State (No Tuition/Trans)</t>
  </si>
  <si>
    <t>(b) LEA O/S State (No Tuition/Trans)</t>
  </si>
  <si>
    <t>0037665</t>
  </si>
  <si>
    <t>LEA O/S State (No Tuition/Trans)</t>
  </si>
  <si>
    <t>0037675</t>
  </si>
  <si>
    <t>0037690</t>
  </si>
  <si>
    <t>0037700</t>
  </si>
  <si>
    <t>0037710</t>
  </si>
  <si>
    <t>0037725</t>
  </si>
  <si>
    <t>0037735</t>
  </si>
  <si>
    <t>(3) All Other Equipment (Including Veh)</t>
  </si>
  <si>
    <t>0037745</t>
  </si>
  <si>
    <t>0037755</t>
  </si>
  <si>
    <t>0037770</t>
  </si>
  <si>
    <t>0037780</t>
  </si>
  <si>
    <t>0037820</t>
  </si>
  <si>
    <t>0037830</t>
  </si>
  <si>
    <t>0037840</t>
  </si>
  <si>
    <t>0037855</t>
  </si>
  <si>
    <t>0037865</t>
  </si>
  <si>
    <t>0037875</t>
  </si>
  <si>
    <t>0037885</t>
  </si>
  <si>
    <t>0037895</t>
  </si>
  <si>
    <t>0037905</t>
  </si>
  <si>
    <t>0037915</t>
  </si>
  <si>
    <t>0037925</t>
  </si>
  <si>
    <t>0037935</t>
  </si>
  <si>
    <t>TOTAL C. General Administration</t>
  </si>
  <si>
    <t>Principals</t>
  </si>
  <si>
    <t>0038470</t>
  </si>
  <si>
    <t>Assistant Principals</t>
  </si>
  <si>
    <t>0038480</t>
  </si>
  <si>
    <t>School Chief Exec Officer (Charter Sch)</t>
  </si>
  <si>
    <t>0038490</t>
  </si>
  <si>
    <t>Other School Administrators</t>
  </si>
  <si>
    <t>0038500</t>
  </si>
  <si>
    <t>0038510</t>
  </si>
  <si>
    <t>Other Regular Salaries</t>
  </si>
  <si>
    <t>0038520</t>
  </si>
  <si>
    <t>0038530</t>
  </si>
  <si>
    <t>Other Salaries - School Administration</t>
  </si>
  <si>
    <t>0038540</t>
  </si>
  <si>
    <t>0038550</t>
  </si>
  <si>
    <t>0038570</t>
  </si>
  <si>
    <t>0038615</t>
  </si>
  <si>
    <t>0038625</t>
  </si>
  <si>
    <t>0038635</t>
  </si>
  <si>
    <t>Communications (phone, internet, postage)</t>
  </si>
  <si>
    <t>0038650</t>
  </si>
  <si>
    <t>0038660</t>
  </si>
  <si>
    <t>0038670</t>
  </si>
  <si>
    <t>0038685</t>
  </si>
  <si>
    <t>0038695</t>
  </si>
  <si>
    <t>0038705</t>
  </si>
  <si>
    <t>0038720</t>
  </si>
  <si>
    <t>0038730</t>
  </si>
  <si>
    <t>All Other Equipment (Including Veh)</t>
  </si>
  <si>
    <t>0038740</t>
  </si>
  <si>
    <t>0038750</t>
  </si>
  <si>
    <t>Dues and Fees (Southern Association, etc)</t>
  </si>
  <si>
    <t>0038765</t>
  </si>
  <si>
    <t>0038775</t>
  </si>
  <si>
    <t>0038785</t>
  </si>
  <si>
    <t>0038845</t>
  </si>
  <si>
    <t>0038855</t>
  </si>
  <si>
    <t>0038865</t>
  </si>
  <si>
    <t>0038880</t>
  </si>
  <si>
    <t>0038890</t>
  </si>
  <si>
    <t>0038900</t>
  </si>
  <si>
    <t>0038910</t>
  </si>
  <si>
    <t>0038920</t>
  </si>
  <si>
    <t>0038930</t>
  </si>
  <si>
    <t>0038940</t>
  </si>
  <si>
    <t>0038950</t>
  </si>
  <si>
    <t>0038960</t>
  </si>
  <si>
    <t>TOTAL D. School Administration</t>
  </si>
  <si>
    <t>Fiscal Services (Internal Auditing, Budget,</t>
  </si>
  <si>
    <t>Payroll, Financial, Property Accounting, ect)</t>
  </si>
  <si>
    <t>(1) Bus. Manager/CFO/Fiscal Supervisors</t>
  </si>
  <si>
    <t>0039540</t>
  </si>
  <si>
    <t>Bus. Manager/CFO/Fiscal Supervisors</t>
  </si>
  <si>
    <t>(2) Clerical/Secretarial</t>
  </si>
  <si>
    <t>0039550</t>
  </si>
  <si>
    <t>(3) Accountant/Auditor/Budget Analyst</t>
  </si>
  <si>
    <t>0039560</t>
  </si>
  <si>
    <t>Accountant/Auditor/Budget Analyst</t>
  </si>
  <si>
    <t>(4) Other Salaries - Fiscal Services</t>
  </si>
  <si>
    <t>0039570</t>
  </si>
  <si>
    <t>Other Salaries - Fiscal Services</t>
  </si>
  <si>
    <t>(1) Technical Services (Bank Charges)</t>
  </si>
  <si>
    <t>0039585</t>
  </si>
  <si>
    <t>Technical Services</t>
  </si>
  <si>
    <t>(2) Other Purchased Prof. and Tech. Svcs</t>
  </si>
  <si>
    <t>0039595</t>
  </si>
  <si>
    <t>0039610</t>
  </si>
  <si>
    <t>0039620</t>
  </si>
  <si>
    <t>0039630</t>
  </si>
  <si>
    <t>0039645</t>
  </si>
  <si>
    <t>(2) Advertising and Public Notices</t>
  </si>
  <si>
    <t>0039655</t>
  </si>
  <si>
    <t>Advertising and Public Notices</t>
  </si>
  <si>
    <t>0039665</t>
  </si>
  <si>
    <t>0039675</t>
  </si>
  <si>
    <t>0039690</t>
  </si>
  <si>
    <t>0039700</t>
  </si>
  <si>
    <t>0039710</t>
  </si>
  <si>
    <t>0039725</t>
  </si>
  <si>
    <t>0039735</t>
  </si>
  <si>
    <t>0039745</t>
  </si>
  <si>
    <t>0039755</t>
  </si>
  <si>
    <t>(1) Interest (short-term loans)</t>
  </si>
  <si>
    <t>0039770</t>
  </si>
  <si>
    <t>Interest (short-term loans)</t>
  </si>
  <si>
    <t>(2) Miscellaneous Expenditures</t>
  </si>
  <si>
    <t>0039780</t>
  </si>
  <si>
    <t>0039820</t>
  </si>
  <si>
    <t>0039830</t>
  </si>
  <si>
    <t>0039840</t>
  </si>
  <si>
    <t>0039855</t>
  </si>
  <si>
    <t>0039865</t>
  </si>
  <si>
    <t>0039875</t>
  </si>
  <si>
    <t>0039885</t>
  </si>
  <si>
    <t>0039895</t>
  </si>
  <si>
    <t>0039905</t>
  </si>
  <si>
    <t>0039915</t>
  </si>
  <si>
    <t>0039925</t>
  </si>
  <si>
    <t>0039935</t>
  </si>
  <si>
    <t>Purchasing Services</t>
  </si>
  <si>
    <t>(1) Purchasing Agents</t>
  </si>
  <si>
    <t>0039995</t>
  </si>
  <si>
    <t>Purchasing Agents</t>
  </si>
  <si>
    <t>0040005</t>
  </si>
  <si>
    <t>(3) Other Salaries - Purchasing Services</t>
  </si>
  <si>
    <t>0040015</t>
  </si>
  <si>
    <t>Other Salaries - Purchasing Services</t>
  </si>
  <si>
    <t>0040025</t>
  </si>
  <si>
    <t>0040040</t>
  </si>
  <si>
    <t>0040050</t>
  </si>
  <si>
    <t>0040060</t>
  </si>
  <si>
    <t>0040075</t>
  </si>
  <si>
    <t>0040085</t>
  </si>
  <si>
    <t>0040095</t>
  </si>
  <si>
    <t>0040105</t>
  </si>
  <si>
    <t>0040120</t>
  </si>
  <si>
    <t>0040130</t>
  </si>
  <si>
    <t>0040140</t>
  </si>
  <si>
    <t>0040155</t>
  </si>
  <si>
    <t>0040165</t>
  </si>
  <si>
    <t>0040175</t>
  </si>
  <si>
    <t>0040185</t>
  </si>
  <si>
    <t>0040195</t>
  </si>
  <si>
    <t>0040235</t>
  </si>
  <si>
    <t>0040245</t>
  </si>
  <si>
    <t>0040255</t>
  </si>
  <si>
    <t>0040270</t>
  </si>
  <si>
    <t>0040280</t>
  </si>
  <si>
    <t>0040290</t>
  </si>
  <si>
    <t>0040300</t>
  </si>
  <si>
    <t>0040310</t>
  </si>
  <si>
    <t>0040320</t>
  </si>
  <si>
    <t>0040330</t>
  </si>
  <si>
    <t>0040340</t>
  </si>
  <si>
    <t>0040350</t>
  </si>
  <si>
    <t>Warehousing and Distributing Services</t>
  </si>
  <si>
    <t>0040395</t>
  </si>
  <si>
    <t>0040405</t>
  </si>
  <si>
    <t>(3) Other Salaries - Warehouse/Distribute</t>
  </si>
  <si>
    <t>0040415</t>
  </si>
  <si>
    <t>Other Salaries - Warehouse/Distribute</t>
  </si>
  <si>
    <t>0040425</t>
  </si>
  <si>
    <t>0040440</t>
  </si>
  <si>
    <t>0040450</t>
  </si>
  <si>
    <t>0040460</t>
  </si>
  <si>
    <t>0040475</t>
  </si>
  <si>
    <t>0040485</t>
  </si>
  <si>
    <t>0040500</t>
  </si>
  <si>
    <t>0040510</t>
  </si>
  <si>
    <t>0040520</t>
  </si>
  <si>
    <t>0040535</t>
  </si>
  <si>
    <t>0040545</t>
  </si>
  <si>
    <t>0040555</t>
  </si>
  <si>
    <t>0040565</t>
  </si>
  <si>
    <t>0040575</t>
  </si>
  <si>
    <t>0040615</t>
  </si>
  <si>
    <t>0040625</t>
  </si>
  <si>
    <t>0040635</t>
  </si>
  <si>
    <t>0040650</t>
  </si>
  <si>
    <t>0040660</t>
  </si>
  <si>
    <t>0040670</t>
  </si>
  <si>
    <t>0040680</t>
  </si>
  <si>
    <t>0040690</t>
  </si>
  <si>
    <t>0040700</t>
  </si>
  <si>
    <t>0040710</t>
  </si>
  <si>
    <t>0040720</t>
  </si>
  <si>
    <t>0040730</t>
  </si>
  <si>
    <t>Printing, Publishing and Duplicating Svcs</t>
  </si>
  <si>
    <t>0040775</t>
  </si>
  <si>
    <t>0040785</t>
  </si>
  <si>
    <t>(3) Other Salaries - Print/Publish/Dup</t>
  </si>
  <si>
    <t>0040795</t>
  </si>
  <si>
    <t>Other Salaries - Print/Publish/Dup</t>
  </si>
  <si>
    <t>0040805</t>
  </si>
  <si>
    <t>0040820</t>
  </si>
  <si>
    <t>0040830</t>
  </si>
  <si>
    <t>0040840</t>
  </si>
  <si>
    <t>(1) Printing and Binding</t>
  </si>
  <si>
    <t>0040855</t>
  </si>
  <si>
    <t>Printing and Binding</t>
  </si>
  <si>
    <t>0040865</t>
  </si>
  <si>
    <t>0040875</t>
  </si>
  <si>
    <t>0040890</t>
  </si>
  <si>
    <t>0040900</t>
  </si>
  <si>
    <t>0040910</t>
  </si>
  <si>
    <t>0040925</t>
  </si>
  <si>
    <t>0040935</t>
  </si>
  <si>
    <t>0040945</t>
  </si>
  <si>
    <t>0040955</t>
  </si>
  <si>
    <t>0040965</t>
  </si>
  <si>
    <t>0040995</t>
  </si>
  <si>
    <t>0041005</t>
  </si>
  <si>
    <t>0041015</t>
  </si>
  <si>
    <t>0041030</t>
  </si>
  <si>
    <t>0041040</t>
  </si>
  <si>
    <t>0041050</t>
  </si>
  <si>
    <t>0041060</t>
  </si>
  <si>
    <t>0041070</t>
  </si>
  <si>
    <t>0041080</t>
  </si>
  <si>
    <t>0041090</t>
  </si>
  <si>
    <t>0041100</t>
  </si>
  <si>
    <t>0041110</t>
  </si>
  <si>
    <t>Other Business Services</t>
  </si>
  <si>
    <t>0041165</t>
  </si>
  <si>
    <t>0041175</t>
  </si>
  <si>
    <t>(3) Other Salaries</t>
  </si>
  <si>
    <t>0041185</t>
  </si>
  <si>
    <t>0041195</t>
  </si>
  <si>
    <t>0041210</t>
  </si>
  <si>
    <t>0041220</t>
  </si>
  <si>
    <t>0041230</t>
  </si>
  <si>
    <t>0041245</t>
  </si>
  <si>
    <t>0041255</t>
  </si>
  <si>
    <t>0041265</t>
  </si>
  <si>
    <t>0041280</t>
  </si>
  <si>
    <t>0041290</t>
  </si>
  <si>
    <t>0041300</t>
  </si>
  <si>
    <t>0041315</t>
  </si>
  <si>
    <t>0041325</t>
  </si>
  <si>
    <t>0041335</t>
  </si>
  <si>
    <t>0041345</t>
  </si>
  <si>
    <t>0041355</t>
  </si>
  <si>
    <t>0041385</t>
  </si>
  <si>
    <t>0041395</t>
  </si>
  <si>
    <t>0041405</t>
  </si>
  <si>
    <t>0041420</t>
  </si>
  <si>
    <t>0041430</t>
  </si>
  <si>
    <t>0041440</t>
  </si>
  <si>
    <t>0041450</t>
  </si>
  <si>
    <t>0041460</t>
  </si>
  <si>
    <t>0041470</t>
  </si>
  <si>
    <t>0041480</t>
  </si>
  <si>
    <t>0041490</t>
  </si>
  <si>
    <t>0041500</t>
  </si>
  <si>
    <t>TOTAL E. Business Services</t>
  </si>
  <si>
    <t>Operation and Maintenance of Plant Services</t>
  </si>
  <si>
    <t>0041670</t>
  </si>
  <si>
    <t>D</t>
  </si>
  <si>
    <t>Operation and Maintenance of Buildings</t>
  </si>
  <si>
    <t>0041680</t>
  </si>
  <si>
    <t>Custodian/Building Maintenance</t>
  </si>
  <si>
    <t>0041690</t>
  </si>
  <si>
    <t>Mechanics (exc. School Trans./Food Svcs)</t>
  </si>
  <si>
    <t>0041700</t>
  </si>
  <si>
    <t>School Safety/Security Staff/Cross Guards</t>
  </si>
  <si>
    <t>0041710</t>
  </si>
  <si>
    <t>Other Skilled Craftsman - Ops. and Maint.</t>
  </si>
  <si>
    <t>0041720</t>
  </si>
  <si>
    <t>0041730</t>
  </si>
  <si>
    <t>Other Salaries - Operations &amp; Maintenance</t>
  </si>
  <si>
    <t>0041740</t>
  </si>
  <si>
    <t>0041750</t>
  </si>
  <si>
    <t>0041765</t>
  </si>
  <si>
    <t>(1) Utilities - Water/Sewage</t>
  </si>
  <si>
    <t>0041780</t>
  </si>
  <si>
    <t>Utilities - Water/Sewage</t>
  </si>
  <si>
    <t>(2) Disposal Services</t>
  </si>
  <si>
    <t>0041790</t>
  </si>
  <si>
    <t>Disposal Services</t>
  </si>
  <si>
    <t>(3) Custodial Services</t>
  </si>
  <si>
    <t>0041800</t>
  </si>
  <si>
    <t>Custodial Services</t>
  </si>
  <si>
    <t>(4) Repairs and Maintenance Services</t>
  </si>
  <si>
    <t>0041810</t>
  </si>
  <si>
    <t>(5) Renting/Leasing Land and Buildings</t>
  </si>
  <si>
    <t>0041820</t>
  </si>
  <si>
    <t>Renting/Leasing Land and Buildings</t>
  </si>
  <si>
    <t>(6) Rental of Equipment and Vehicles</t>
  </si>
  <si>
    <t>0041830</t>
  </si>
  <si>
    <t>(7) Other Purchased Property Services</t>
  </si>
  <si>
    <t>0041840</t>
  </si>
  <si>
    <t>(1) Property Insurance</t>
  </si>
  <si>
    <t>0041855</t>
  </si>
  <si>
    <t>0041865</t>
  </si>
  <si>
    <t>0041875</t>
  </si>
  <si>
    <t>0041885</t>
  </si>
  <si>
    <t>(1) Materials and Supplies</t>
  </si>
  <si>
    <t>0041900</t>
  </si>
  <si>
    <t>(2) Technology-Related Supplies</t>
  </si>
  <si>
    <t>0041910</t>
  </si>
  <si>
    <t>(3) Natural Gas</t>
  </si>
  <si>
    <t>0041920</t>
  </si>
  <si>
    <t>Natural Gas</t>
  </si>
  <si>
    <t>(4) Electricity</t>
  </si>
  <si>
    <t>0041930</t>
  </si>
  <si>
    <t>Electricity</t>
  </si>
  <si>
    <t>0041940</t>
  </si>
  <si>
    <t>0041955</t>
  </si>
  <si>
    <t>0041965</t>
  </si>
  <si>
    <t>0041975</t>
  </si>
  <si>
    <t>0041985</t>
  </si>
  <si>
    <t>0041995</t>
  </si>
  <si>
    <t>Care and Upkeep of Grounds</t>
  </si>
  <si>
    <t>Lawn Care</t>
  </si>
  <si>
    <t>0042010</t>
  </si>
  <si>
    <t>0042020</t>
  </si>
  <si>
    <t>0042030</t>
  </si>
  <si>
    <t>0042040</t>
  </si>
  <si>
    <t>Equipment</t>
  </si>
  <si>
    <t>0042050</t>
  </si>
  <si>
    <t>0042060</t>
  </si>
  <si>
    <t>0042070</t>
  </si>
  <si>
    <t>Care and Upkeep of Equipment</t>
  </si>
  <si>
    <t>0042085</t>
  </si>
  <si>
    <t>0042095</t>
  </si>
  <si>
    <t>0042105</t>
  </si>
  <si>
    <t>0042115</t>
  </si>
  <si>
    <t>0042125</t>
  </si>
  <si>
    <t>0042135</t>
  </si>
  <si>
    <t>0042145</t>
  </si>
  <si>
    <t>0042155</t>
  </si>
  <si>
    <t>Vehicle Op. and Maint. (Exc. Student Trans.)</t>
  </si>
  <si>
    <t>0042170</t>
  </si>
  <si>
    <t>Vehicle Op. and Maint.</t>
  </si>
  <si>
    <t>0042180</t>
  </si>
  <si>
    <t>0042190</t>
  </si>
  <si>
    <t>0042200</t>
  </si>
  <si>
    <t>0042210</t>
  </si>
  <si>
    <t>0042220</t>
  </si>
  <si>
    <t>Equipment (Including Vehicles)</t>
  </si>
  <si>
    <t>0042230</t>
  </si>
  <si>
    <t>0042240</t>
  </si>
  <si>
    <t>0042250</t>
  </si>
  <si>
    <t>Safety and Security</t>
  </si>
  <si>
    <t>0042265</t>
  </si>
  <si>
    <t>0042275</t>
  </si>
  <si>
    <t>0042285</t>
  </si>
  <si>
    <t>0042300</t>
  </si>
  <si>
    <t>(2) Other Supplies</t>
  </si>
  <si>
    <t>0042310</t>
  </si>
  <si>
    <t>0042325</t>
  </si>
  <si>
    <t>0042335</t>
  </si>
  <si>
    <t>0042345</t>
  </si>
  <si>
    <t>0042355</t>
  </si>
  <si>
    <t>0042370</t>
  </si>
  <si>
    <t>0042380</t>
  </si>
  <si>
    <t>Employee Benefits - Op. and Maint.</t>
  </si>
  <si>
    <t>0042420</t>
  </si>
  <si>
    <t>0042430</t>
  </si>
  <si>
    <t>0042440</t>
  </si>
  <si>
    <t>0042455</t>
  </si>
  <si>
    <t>0042465</t>
  </si>
  <si>
    <t>0042475</t>
  </si>
  <si>
    <t>0042485</t>
  </si>
  <si>
    <t>0042495</t>
  </si>
  <si>
    <t>0042505</t>
  </si>
  <si>
    <t>0042515</t>
  </si>
  <si>
    <t>0042525</t>
  </si>
  <si>
    <t>0042535</t>
  </si>
  <si>
    <t>TOTAL F. Operation &amp; Maintenance of Plant Services</t>
  </si>
  <si>
    <t>G.</t>
  </si>
  <si>
    <t>Supervision of Student Transportation</t>
  </si>
  <si>
    <t>0043130</t>
  </si>
  <si>
    <t>0043140</t>
  </si>
  <si>
    <t>(3) Other Salaries - Student Trans. Svcs</t>
  </si>
  <si>
    <t>0043150</t>
  </si>
  <si>
    <t>Other Salaries - Student Trans. Svcs</t>
  </si>
  <si>
    <t>0043160</t>
  </si>
  <si>
    <t>0043175</t>
  </si>
  <si>
    <t>0043185</t>
  </si>
  <si>
    <t>(1) Student Transportation Services</t>
  </si>
  <si>
    <t>(a) From Other LEA - Within State</t>
  </si>
  <si>
    <t>0043205</t>
  </si>
  <si>
    <t>From Other LEA - Within State</t>
  </si>
  <si>
    <t>(b) From Other LEA - Outside State</t>
  </si>
  <si>
    <t>0043215</t>
  </si>
  <si>
    <t>From Other LEA - Outside State</t>
  </si>
  <si>
    <t>0043225</t>
  </si>
  <si>
    <t>0043235</t>
  </si>
  <si>
    <t>0043250</t>
  </si>
  <si>
    <t>0043260</t>
  </si>
  <si>
    <t>0043270</t>
  </si>
  <si>
    <t>0043285</t>
  </si>
  <si>
    <t>0043295</t>
  </si>
  <si>
    <t>(3) All Other Equipment (Inc. Veh/Buses)</t>
  </si>
  <si>
    <t>0043305</t>
  </si>
  <si>
    <t>0043315</t>
  </si>
  <si>
    <t>0043330</t>
  </si>
  <si>
    <t>0043340</t>
  </si>
  <si>
    <t>Employee Benefits - Super. Student Trans.</t>
  </si>
  <si>
    <t>0043380</t>
  </si>
  <si>
    <t>0043390</t>
  </si>
  <si>
    <t>0043400</t>
  </si>
  <si>
    <t>0043415</t>
  </si>
  <si>
    <t>0043425</t>
  </si>
  <si>
    <t>0043435</t>
  </si>
  <si>
    <t>0043445</t>
  </si>
  <si>
    <t>0043455</t>
  </si>
  <si>
    <t>0043465</t>
  </si>
  <si>
    <t>0043475</t>
  </si>
  <si>
    <t>0043485</t>
  </si>
  <si>
    <t>0043495</t>
  </si>
  <si>
    <t>Regular Transportation</t>
  </si>
  <si>
    <t>(1) Aide/Attendant/Monitor</t>
  </si>
  <si>
    <t>0043550</t>
  </si>
  <si>
    <t>Aide/Attendant/Monitor</t>
  </si>
  <si>
    <t>(2) Bus Driver</t>
  </si>
  <si>
    <t>0043560</t>
  </si>
  <si>
    <t>Bus Driver</t>
  </si>
  <si>
    <t>(3) Bus Mechanics</t>
  </si>
  <si>
    <t>0043570</t>
  </si>
  <si>
    <t>Bus Mechanics</t>
  </si>
  <si>
    <t>(4) Substitute Drivers</t>
  </si>
  <si>
    <t>0043580</t>
  </si>
  <si>
    <t>Substitute Drivers</t>
  </si>
  <si>
    <t>(5) Other Salaries - Regular Trans. Svcs</t>
  </si>
  <si>
    <t>0043582</t>
  </si>
  <si>
    <t>Other Salaries - Regular Trans. Svcs</t>
  </si>
  <si>
    <t>0043583</t>
  </si>
  <si>
    <t>0043595</t>
  </si>
  <si>
    <t>0043605</t>
  </si>
  <si>
    <t>0043615</t>
  </si>
  <si>
    <t>(1) Payments in Lieu of Transportation</t>
  </si>
  <si>
    <t>0043630</t>
  </si>
  <si>
    <t>Payments in Lieu of Transportation</t>
  </si>
  <si>
    <t>(2) Fleet Insurance</t>
  </si>
  <si>
    <t>0043640</t>
  </si>
  <si>
    <t>(3) Operational Allowance</t>
  </si>
  <si>
    <t>0043650</t>
  </si>
  <si>
    <t>Operational Allowance</t>
  </si>
  <si>
    <t>0043660</t>
  </si>
  <si>
    <t>0043675</t>
  </si>
  <si>
    <t>0043685</t>
  </si>
  <si>
    <t>0043695</t>
  </si>
  <si>
    <t>0043705</t>
  </si>
  <si>
    <t>0043720</t>
  </si>
  <si>
    <t>0043730</t>
  </si>
  <si>
    <t>0043740</t>
  </si>
  <si>
    <t>0043750</t>
  </si>
  <si>
    <t>0043765</t>
  </si>
  <si>
    <t>0043775</t>
  </si>
  <si>
    <t>Employee Benefits - Regular Trans.</t>
  </si>
  <si>
    <t>0043810</t>
  </si>
  <si>
    <t>0043820</t>
  </si>
  <si>
    <t>0043830</t>
  </si>
  <si>
    <t>0043845</t>
  </si>
  <si>
    <t>0043855</t>
  </si>
  <si>
    <t>0043865</t>
  </si>
  <si>
    <t>0043875</t>
  </si>
  <si>
    <t>0043885</t>
  </si>
  <si>
    <t>0043895</t>
  </si>
  <si>
    <t>0043905</t>
  </si>
  <si>
    <t>0043915</t>
  </si>
  <si>
    <t>0043925</t>
  </si>
  <si>
    <t>Special Needs Transportation</t>
  </si>
  <si>
    <t>0043980</t>
  </si>
  <si>
    <t>0043990</t>
  </si>
  <si>
    <t>0044000</t>
  </si>
  <si>
    <t>0044010</t>
  </si>
  <si>
    <t>(5) Other Salaries - Special Needs Trans. Svcs</t>
  </si>
  <si>
    <t>0044012</t>
  </si>
  <si>
    <t>Other Salaries - Special Needs Trans. Svcs</t>
  </si>
  <si>
    <t>0044013</t>
  </si>
  <si>
    <t>0044025</t>
  </si>
  <si>
    <t>0044035</t>
  </si>
  <si>
    <t>0044045</t>
  </si>
  <si>
    <t>0044060</t>
  </si>
  <si>
    <t>0044070</t>
  </si>
  <si>
    <t>0044080</t>
  </si>
  <si>
    <t>0044090</t>
  </si>
  <si>
    <t>0044105</t>
  </si>
  <si>
    <t>0044115</t>
  </si>
  <si>
    <t>0044125</t>
  </si>
  <si>
    <t>0044135</t>
  </si>
  <si>
    <t>0044150</t>
  </si>
  <si>
    <t>0044160</t>
  </si>
  <si>
    <t>0044170</t>
  </si>
  <si>
    <t>0044180</t>
  </si>
  <si>
    <t>0044195</t>
  </si>
  <si>
    <t>0044205</t>
  </si>
  <si>
    <t>Employee Benefits - Special Needs Trans.</t>
  </si>
  <si>
    <t>0044255</t>
  </si>
  <si>
    <t>0044265</t>
  </si>
  <si>
    <t>0044275</t>
  </si>
  <si>
    <t>0044290</t>
  </si>
  <si>
    <t>0044300</t>
  </si>
  <si>
    <t>0044310</t>
  </si>
  <si>
    <t>0044320</t>
  </si>
  <si>
    <t>0044330</t>
  </si>
  <si>
    <t>0044340</t>
  </si>
  <si>
    <t>0044350</t>
  </si>
  <si>
    <t>0044360</t>
  </si>
  <si>
    <t>0044370</t>
  </si>
  <si>
    <t>TOTAL G. Student Transportation Services</t>
  </si>
  <si>
    <t>H.</t>
  </si>
  <si>
    <t>Planning, Research, Development &amp; Evaluation</t>
  </si>
  <si>
    <t>0044945</t>
  </si>
  <si>
    <t>0044955</t>
  </si>
  <si>
    <t>(3) Other Salaries - Plan, R&amp;D, and Eval</t>
  </si>
  <si>
    <t>0044965</t>
  </si>
  <si>
    <t>Other Salaries - Plan, R&amp;D, and Eval</t>
  </si>
  <si>
    <t>0044975</t>
  </si>
  <si>
    <t>0044990</t>
  </si>
  <si>
    <t>0045000</t>
  </si>
  <si>
    <t>0045015</t>
  </si>
  <si>
    <t>0045025</t>
  </si>
  <si>
    <t>0045040</t>
  </si>
  <si>
    <t>0045050</t>
  </si>
  <si>
    <t>0045060</t>
  </si>
  <si>
    <t>0045075</t>
  </si>
  <si>
    <t>0045085</t>
  </si>
  <si>
    <t>0045095</t>
  </si>
  <si>
    <t>0045105</t>
  </si>
  <si>
    <t>0045120</t>
  </si>
  <si>
    <t>0045130</t>
  </si>
  <si>
    <t>Employee Benefits - Plan, R&amp;D, Eval Svcs</t>
  </si>
  <si>
    <t>0045170</t>
  </si>
  <si>
    <t>0045180</t>
  </si>
  <si>
    <t>0045190</t>
  </si>
  <si>
    <t>0045205</t>
  </si>
  <si>
    <t>0045215</t>
  </si>
  <si>
    <t>0045225</t>
  </si>
  <si>
    <t>0045235</t>
  </si>
  <si>
    <t>0045245</t>
  </si>
  <si>
    <t>0045255</t>
  </si>
  <si>
    <t>0045265</t>
  </si>
  <si>
    <t>0045275</t>
  </si>
  <si>
    <t>0045285</t>
  </si>
  <si>
    <t>Information Services</t>
  </si>
  <si>
    <t>0045340</t>
  </si>
  <si>
    <t>0045350</t>
  </si>
  <si>
    <t>(3) Other Salaries - Information Services</t>
  </si>
  <si>
    <t>0045360</t>
  </si>
  <si>
    <t>Other Salaries - Information Services</t>
  </si>
  <si>
    <t>0045370</t>
  </si>
  <si>
    <t>0045385</t>
  </si>
  <si>
    <t>0045395</t>
  </si>
  <si>
    <t>(1) Advertising and Public Notices</t>
  </si>
  <si>
    <t>0045410</t>
  </si>
  <si>
    <t>0045420</t>
  </si>
  <si>
    <t>0045430</t>
  </si>
  <si>
    <t>0045445</t>
  </si>
  <si>
    <t>0045455</t>
  </si>
  <si>
    <t>0045465</t>
  </si>
  <si>
    <t>0045480</t>
  </si>
  <si>
    <t>0045490</t>
  </si>
  <si>
    <t>0045500</t>
  </si>
  <si>
    <t>0045510</t>
  </si>
  <si>
    <t>0045525</t>
  </si>
  <si>
    <t>0045535</t>
  </si>
  <si>
    <t>Employee Benefits - Information Services</t>
  </si>
  <si>
    <t>0045575</t>
  </si>
  <si>
    <t>0045585</t>
  </si>
  <si>
    <t>0045595</t>
  </si>
  <si>
    <t>0045610</t>
  </si>
  <si>
    <t>0045620</t>
  </si>
  <si>
    <t>0045630</t>
  </si>
  <si>
    <t>0045640</t>
  </si>
  <si>
    <t>0045650</t>
  </si>
  <si>
    <t>0045660</t>
  </si>
  <si>
    <t>0045670</t>
  </si>
  <si>
    <t>0045680</t>
  </si>
  <si>
    <t>0045690</t>
  </si>
  <si>
    <t>Personnel (Human Resources) Services</t>
  </si>
  <si>
    <t>(1) Personnel / HR Director (only)</t>
  </si>
  <si>
    <t>0045745</t>
  </si>
  <si>
    <t>Human Resources Services</t>
  </si>
  <si>
    <t>Personnel / HR Director (only)</t>
  </si>
  <si>
    <t>(2) Other Personnel Services Supervisors</t>
  </si>
  <si>
    <t>0045755</t>
  </si>
  <si>
    <t>Other Personnel Services Supervisors</t>
  </si>
  <si>
    <t>(3) Recruitment and Placement Staff</t>
  </si>
  <si>
    <t>0045765</t>
  </si>
  <si>
    <t>Recruitment and Placement Staff</t>
  </si>
  <si>
    <t>(4) Clerical/Secretarial</t>
  </si>
  <si>
    <t>0045775</t>
  </si>
  <si>
    <t>(5) Degreed Professional</t>
  </si>
  <si>
    <t>0045785</t>
  </si>
  <si>
    <t>Degreed Professional</t>
  </si>
  <si>
    <t>(6) Other Salaries - Personnel Services</t>
  </si>
  <si>
    <t>0045795</t>
  </si>
  <si>
    <t>Other Salaries - Personnel Services</t>
  </si>
  <si>
    <t>(1) Fingerprinting and Background Check</t>
  </si>
  <si>
    <t>0045810</t>
  </si>
  <si>
    <t>Fingerprinting and Background Check</t>
  </si>
  <si>
    <t>0045820</t>
  </si>
  <si>
    <t>0045835</t>
  </si>
  <si>
    <t>0045845</t>
  </si>
  <si>
    <t>0045860</t>
  </si>
  <si>
    <t>0045870</t>
  </si>
  <si>
    <t>0045880</t>
  </si>
  <si>
    <t>0045895</t>
  </si>
  <si>
    <t>0045905</t>
  </si>
  <si>
    <t>0045915</t>
  </si>
  <si>
    <t>0045930</t>
  </si>
  <si>
    <t>0045940</t>
  </si>
  <si>
    <t>0045950</t>
  </si>
  <si>
    <t>0045960</t>
  </si>
  <si>
    <t>0045975</t>
  </si>
  <si>
    <t>0045985</t>
  </si>
  <si>
    <t>Employee Benefits - Personnel Services</t>
  </si>
  <si>
    <t>0046025</t>
  </si>
  <si>
    <t>0046035</t>
  </si>
  <si>
    <t>0046045</t>
  </si>
  <si>
    <t>0046060</t>
  </si>
  <si>
    <t>0046070</t>
  </si>
  <si>
    <t>0046080</t>
  </si>
  <si>
    <t>0046090</t>
  </si>
  <si>
    <t>0046100</t>
  </si>
  <si>
    <t>0046110</t>
  </si>
  <si>
    <t>0046120</t>
  </si>
  <si>
    <t>0046130</t>
  </si>
  <si>
    <t>0046140</t>
  </si>
  <si>
    <t>Administrative Tech. Svcs (Data Processing)</t>
  </si>
  <si>
    <t>0046200</t>
  </si>
  <si>
    <t>Administrative Tech. Svcs</t>
  </si>
  <si>
    <t>(2) System Analysts</t>
  </si>
  <si>
    <t>0046210</t>
  </si>
  <si>
    <t>System Analysts</t>
  </si>
  <si>
    <t>(3) Application Programmers</t>
  </si>
  <si>
    <t>0046220</t>
  </si>
  <si>
    <t>Application Programmers</t>
  </si>
  <si>
    <t>(4) Computer Operators</t>
  </si>
  <si>
    <t>0046230</t>
  </si>
  <si>
    <t>Computer Operators</t>
  </si>
  <si>
    <t>(5) Network Support Staff</t>
  </si>
  <si>
    <t>0046240</t>
  </si>
  <si>
    <t>Network Support Staff</t>
  </si>
  <si>
    <t>(6) Hardware Maintenance &amp; Support Staff</t>
  </si>
  <si>
    <t>0046250</t>
  </si>
  <si>
    <t>Hardware Maintenance &amp; Support Staff</t>
  </si>
  <si>
    <t>(7) Clerical/Secretarial</t>
  </si>
  <si>
    <t>0046260</t>
  </si>
  <si>
    <t>(8) Other Salaries - Admin. Tech. Svcs</t>
  </si>
  <si>
    <t>0046270</t>
  </si>
  <si>
    <t>Other Salaries - Admin. Tech. Svcs</t>
  </si>
  <si>
    <t>(1) Profess. Develop. - Admin Tech Svcs</t>
  </si>
  <si>
    <t>0046285</t>
  </si>
  <si>
    <t>Profess. Develop. - Admin Tech Svcs</t>
  </si>
  <si>
    <t>(2) Other Purchased Technical Services</t>
  </si>
  <si>
    <t>0046295</t>
  </si>
  <si>
    <t>Other Purchased Technical Services</t>
  </si>
  <si>
    <t>0046305</t>
  </si>
  <si>
    <t>0046320</t>
  </si>
  <si>
    <t>0046330</t>
  </si>
  <si>
    <t>0046340</t>
  </si>
  <si>
    <t>0046355</t>
  </si>
  <si>
    <t>0046365</t>
  </si>
  <si>
    <t>0046375</t>
  </si>
  <si>
    <t>0046390</t>
  </si>
  <si>
    <t>0046400</t>
  </si>
  <si>
    <t>0046410</t>
  </si>
  <si>
    <t>0046425</t>
  </si>
  <si>
    <t>0046435</t>
  </si>
  <si>
    <t>0046445</t>
  </si>
  <si>
    <t>0046455</t>
  </si>
  <si>
    <t>0046470</t>
  </si>
  <si>
    <t>0046480</t>
  </si>
  <si>
    <t>Employee Benefits - Admin. Tech. Svcs</t>
  </si>
  <si>
    <t>0046520</t>
  </si>
  <si>
    <t>0046530</t>
  </si>
  <si>
    <t>0046540</t>
  </si>
  <si>
    <t>0046555</t>
  </si>
  <si>
    <t>0046565</t>
  </si>
  <si>
    <t>0046575</t>
  </si>
  <si>
    <t>0046585</t>
  </si>
  <si>
    <t>0046595</t>
  </si>
  <si>
    <t>0046605</t>
  </si>
  <si>
    <t>0046615</t>
  </si>
  <si>
    <t>0046625</t>
  </si>
  <si>
    <t>0046635</t>
  </si>
  <si>
    <t>Other Central Service Services</t>
  </si>
  <si>
    <t>(1) Other Regular Salaries - Central Svcs</t>
  </si>
  <si>
    <t>0046680</t>
  </si>
  <si>
    <t>Other Regular Salaries - Central Svcs</t>
  </si>
  <si>
    <t>(2) Other Sub./Temp. Emp. - Central Svcs</t>
  </si>
  <si>
    <t>0046690</t>
  </si>
  <si>
    <t>Other Sub./Temp. Emp. - Central Svcs</t>
  </si>
  <si>
    <t>(3) Other Sabbatical Leave - Central Svcs</t>
  </si>
  <si>
    <t>0046700</t>
  </si>
  <si>
    <t>Other Sabbatical Leave - Central Svcs</t>
  </si>
  <si>
    <t>(4) All Other Salaries - Central Services</t>
  </si>
  <si>
    <t>0046710</t>
  </si>
  <si>
    <t>All Other Salaries - Central Services</t>
  </si>
  <si>
    <t>0046720</t>
  </si>
  <si>
    <t>0046730</t>
  </si>
  <si>
    <t>0046740</t>
  </si>
  <si>
    <t>0046750</t>
  </si>
  <si>
    <t>0046760</t>
  </si>
  <si>
    <t>0046775</t>
  </si>
  <si>
    <t>0046785</t>
  </si>
  <si>
    <t>0046825</t>
  </si>
  <si>
    <t>0046835</t>
  </si>
  <si>
    <t>0046845</t>
  </si>
  <si>
    <t>0046860</t>
  </si>
  <si>
    <t>0046870</t>
  </si>
  <si>
    <t>0046880</t>
  </si>
  <si>
    <t>0046890</t>
  </si>
  <si>
    <t>0046900</t>
  </si>
  <si>
    <t>0046910</t>
  </si>
  <si>
    <t>0046920</t>
  </si>
  <si>
    <t>0046930</t>
  </si>
  <si>
    <t>0046940</t>
  </si>
  <si>
    <t>TOTAL H. Central Services</t>
  </si>
  <si>
    <t>TOTAL II. A-H. SUPPORT SERVICE EXPENDITURES</t>
  </si>
  <si>
    <t>III. OPERATION OF NON-INSTRUCTIONAL SERVICES</t>
  </si>
  <si>
    <t>District-wide Directors &amp; Site Managers</t>
  </si>
  <si>
    <t>0048015</t>
  </si>
  <si>
    <t>0048025</t>
  </si>
  <si>
    <t>Service Workers</t>
  </si>
  <si>
    <t>0048035</t>
  </si>
  <si>
    <t>Skilled Craftsmen</t>
  </si>
  <si>
    <t>0048045</t>
  </si>
  <si>
    <t>0048055</t>
  </si>
  <si>
    <t>Acting Employees</t>
  </si>
  <si>
    <t>0048065</t>
  </si>
  <si>
    <t>Substitute Employees</t>
  </si>
  <si>
    <t>0048075</t>
  </si>
  <si>
    <t>Other Temporary Employee</t>
  </si>
  <si>
    <t>0048085</t>
  </si>
  <si>
    <t>Salaries for Overtime/Extra Work</t>
  </si>
  <si>
    <t>0048095</t>
  </si>
  <si>
    <t>0048105</t>
  </si>
  <si>
    <t>All Other Salaries - Food Service Ops</t>
  </si>
  <si>
    <t>0048115</t>
  </si>
  <si>
    <t>Purchased Educational Services</t>
  </si>
  <si>
    <t>0048130</t>
  </si>
  <si>
    <t>Other Purchased Professional Services</t>
  </si>
  <si>
    <t>(1) Legal Services</t>
  </si>
  <si>
    <t>0048145</t>
  </si>
  <si>
    <t>(2) Audit/Accounting Services</t>
  </si>
  <si>
    <t>0048155</t>
  </si>
  <si>
    <t>Audit/Accounting Services</t>
  </si>
  <si>
    <t>(3) Other Professional Services</t>
  </si>
  <si>
    <t>0048165</t>
  </si>
  <si>
    <t>Other Professional Services</t>
  </si>
  <si>
    <t>Other Purchased Professional &amp; Tech Svcs</t>
  </si>
  <si>
    <t>0048175</t>
  </si>
  <si>
    <t>Water/Sewage</t>
  </si>
  <si>
    <t>0048190</t>
  </si>
  <si>
    <t>Cleaning Services</t>
  </si>
  <si>
    <t>(1) Disposal Services</t>
  </si>
  <si>
    <t>0048205</t>
  </si>
  <si>
    <t>(2) Custodial Services</t>
  </si>
  <si>
    <t>0048215</t>
  </si>
  <si>
    <t>0048225</t>
  </si>
  <si>
    <t>Renting Land and Buildings</t>
  </si>
  <si>
    <t>0048235</t>
  </si>
  <si>
    <t>0048245</t>
  </si>
  <si>
    <t>0048255</t>
  </si>
  <si>
    <t>Insurance (Other Than Employee Benefits)</t>
  </si>
  <si>
    <t>(1) Liability Insurance</t>
  </si>
  <si>
    <t>0048275</t>
  </si>
  <si>
    <t>(2) Property Insurance</t>
  </si>
  <si>
    <t>0048285</t>
  </si>
  <si>
    <t>(3) Fleet Insurance</t>
  </si>
  <si>
    <t>0048295</t>
  </si>
  <si>
    <t>(4) Errors and Omissions Insurance</t>
  </si>
  <si>
    <t>0048305</t>
  </si>
  <si>
    <t>Errors and Omissions Insurance</t>
  </si>
  <si>
    <t>(5) Faithful Performance Bonds</t>
  </si>
  <si>
    <t>0048315</t>
  </si>
  <si>
    <t>Faithful Performance Bonds</t>
  </si>
  <si>
    <t>(6) Other Insurance</t>
  </si>
  <si>
    <t>0048325</t>
  </si>
  <si>
    <t>Other Insurance</t>
  </si>
  <si>
    <t>0048335</t>
  </si>
  <si>
    <t>0048345</t>
  </si>
  <si>
    <t>0048355</t>
  </si>
  <si>
    <t>0048365</t>
  </si>
  <si>
    <t>0048375</t>
  </si>
  <si>
    <t>0048385</t>
  </si>
  <si>
    <t>Interagency Purchased Services</t>
  </si>
  <si>
    <t>(1) Purchased from LEA Within the State</t>
  </si>
  <si>
    <t>0048400</t>
  </si>
  <si>
    <t>Purchased from LEA Within the State</t>
  </si>
  <si>
    <t>(2) Purchased from LEAs Outside the State</t>
  </si>
  <si>
    <t>0048410</t>
  </si>
  <si>
    <t>Purchased from LEAs Outside the State</t>
  </si>
  <si>
    <t>Services Purchased Locally</t>
  </si>
  <si>
    <t>0048420</t>
  </si>
  <si>
    <t>All Other Purchased Services</t>
  </si>
  <si>
    <t>0048430</t>
  </si>
  <si>
    <t>0048445</t>
  </si>
  <si>
    <t>0048455</t>
  </si>
  <si>
    <t>Entergy (Gas, Electricity, etc.)</t>
  </si>
  <si>
    <t>0048465</t>
  </si>
  <si>
    <t>Entergy</t>
  </si>
  <si>
    <t>Food</t>
  </si>
  <si>
    <t>(1) Purchased Food</t>
  </si>
  <si>
    <t>0048480</t>
  </si>
  <si>
    <t>Purchased Food</t>
  </si>
  <si>
    <t>(2) Commodities</t>
  </si>
  <si>
    <t>0048490</t>
  </si>
  <si>
    <t>Commodities</t>
  </si>
  <si>
    <t>0048500</t>
  </si>
  <si>
    <t>0048510</t>
  </si>
  <si>
    <t>0048525</t>
  </si>
  <si>
    <t>0048535</t>
  </si>
  <si>
    <t>All Other Equipment (Including Vehicles)</t>
  </si>
  <si>
    <t>0048545</t>
  </si>
  <si>
    <t>0048555</t>
  </si>
  <si>
    <t>0048570</t>
  </si>
  <si>
    <t>0048580</t>
  </si>
  <si>
    <t>Employee Benefits - Food Service Operations</t>
  </si>
  <si>
    <t>0048595</t>
  </si>
  <si>
    <t>0048605</t>
  </si>
  <si>
    <t>0048615</t>
  </si>
  <si>
    <t>0048630</t>
  </si>
  <si>
    <t>0048640</t>
  </si>
  <si>
    <t>0048650</t>
  </si>
  <si>
    <t>0048660</t>
  </si>
  <si>
    <t>0048670</t>
  </si>
  <si>
    <t>0048680</t>
  </si>
  <si>
    <t>0048685</t>
  </si>
  <si>
    <t>0048690</t>
  </si>
  <si>
    <t>0048695</t>
  </si>
  <si>
    <t>TOTAL A. Food Service Operations</t>
  </si>
  <si>
    <t>Enterprise Operations (exclude Food Service Ops)</t>
  </si>
  <si>
    <t>Administrator</t>
  </si>
  <si>
    <t>0048815</t>
  </si>
  <si>
    <t>0048820</t>
  </si>
  <si>
    <t>Other Salaries - Enterprise Operations</t>
  </si>
  <si>
    <t>0048825</t>
  </si>
  <si>
    <t>0048830</t>
  </si>
  <si>
    <t>0048840</t>
  </si>
  <si>
    <t>0048845</t>
  </si>
  <si>
    <t>0048855</t>
  </si>
  <si>
    <t>0048860</t>
  </si>
  <si>
    <t>0048870</t>
  </si>
  <si>
    <t>0048875</t>
  </si>
  <si>
    <t>0048880</t>
  </si>
  <si>
    <t>0048890</t>
  </si>
  <si>
    <t>0048895</t>
  </si>
  <si>
    <t>0048900</t>
  </si>
  <si>
    <t>0048905</t>
  </si>
  <si>
    <t>0048915</t>
  </si>
  <si>
    <t>0048920</t>
  </si>
  <si>
    <t>Employee Benefits - Enterprise Operation</t>
  </si>
  <si>
    <t>0048930</t>
  </si>
  <si>
    <t>0048935</t>
  </si>
  <si>
    <t>0048940</t>
  </si>
  <si>
    <t>0048950</t>
  </si>
  <si>
    <t>0048955</t>
  </si>
  <si>
    <t>0048960</t>
  </si>
  <si>
    <t>0048965</t>
  </si>
  <si>
    <t>0048970</t>
  </si>
  <si>
    <t>0048975</t>
  </si>
  <si>
    <t>0048980</t>
  </si>
  <si>
    <t>0048985</t>
  </si>
  <si>
    <t>0048990</t>
  </si>
  <si>
    <t>TOTAL B. Enterprise Operations</t>
  </si>
  <si>
    <t>Community Service Ops (rec. prog; childcare)</t>
  </si>
  <si>
    <t>0049010</t>
  </si>
  <si>
    <t>Community Service Ops</t>
  </si>
  <si>
    <t>0049015</t>
  </si>
  <si>
    <t>0049020</t>
  </si>
  <si>
    <t>0049025</t>
  </si>
  <si>
    <t>0049035</t>
  </si>
  <si>
    <t>0049040</t>
  </si>
  <si>
    <t>0049050</t>
  </si>
  <si>
    <t>0049055</t>
  </si>
  <si>
    <t>0049065</t>
  </si>
  <si>
    <t>0049070</t>
  </si>
  <si>
    <t>0049075</t>
  </si>
  <si>
    <t>111 Property/Equipment</t>
  </si>
  <si>
    <t>0049085</t>
  </si>
  <si>
    <t>0049090</t>
  </si>
  <si>
    <t>0049095</t>
  </si>
  <si>
    <t>0049100</t>
  </si>
  <si>
    <t>0049110</t>
  </si>
  <si>
    <t>0049115</t>
  </si>
  <si>
    <t>Employee Benefits - Community Service Ops</t>
  </si>
  <si>
    <t>0049125</t>
  </si>
  <si>
    <t>0049130</t>
  </si>
  <si>
    <t>0049135</t>
  </si>
  <si>
    <t>0049145</t>
  </si>
  <si>
    <t>0049150</t>
  </si>
  <si>
    <t>0049155</t>
  </si>
  <si>
    <t>0049160</t>
  </si>
  <si>
    <t>0049165</t>
  </si>
  <si>
    <t>0049170</t>
  </si>
  <si>
    <t>0049175</t>
  </si>
  <si>
    <t>0049180</t>
  </si>
  <si>
    <t>0049185</t>
  </si>
  <si>
    <t>TOTAL C. Community Service Operations</t>
  </si>
  <si>
    <t>TOTAL III. A-C. NON-INSTRUCTIONAL OPERATIONS</t>
  </si>
  <si>
    <t>IV.</t>
  </si>
  <si>
    <t>FACILITY ACQUISITION AND CONSTRUCTION</t>
  </si>
  <si>
    <t>SERVICES</t>
  </si>
  <si>
    <t>0049275</t>
  </si>
  <si>
    <t>Facility Services</t>
  </si>
  <si>
    <t>0049285</t>
  </si>
  <si>
    <t>0049295</t>
  </si>
  <si>
    <t>Regular Salaries - 16th Section Land</t>
  </si>
  <si>
    <t>0049305</t>
  </si>
  <si>
    <t>Temporary Employees</t>
  </si>
  <si>
    <t>0049315</t>
  </si>
  <si>
    <t>All Other Salaries - Fac Acq/Construction</t>
  </si>
  <si>
    <t>0049325</t>
  </si>
  <si>
    <t>0049340</t>
  </si>
  <si>
    <t>Architect/Engineering Services</t>
  </si>
  <si>
    <t>0049350</t>
  </si>
  <si>
    <t>(1) 16th Section Land Improvements</t>
  </si>
  <si>
    <t>0049365</t>
  </si>
  <si>
    <t>16th Section Land Improvements</t>
  </si>
  <si>
    <t>(2) Other</t>
  </si>
  <si>
    <t>0049375</t>
  </si>
  <si>
    <t>Other</t>
  </si>
  <si>
    <t>Building Improvements - Renovate/Remodel</t>
  </si>
  <si>
    <t>0049390</t>
  </si>
  <si>
    <t>Building Acquisition and Construction</t>
  </si>
  <si>
    <t>0049400</t>
  </si>
  <si>
    <t>0049410</t>
  </si>
  <si>
    <t>Other Purchases Services</t>
  </si>
  <si>
    <t>0049425</t>
  </si>
  <si>
    <t>0049435</t>
  </si>
  <si>
    <t>Supplies (non-capitalized expenditures)</t>
  </si>
  <si>
    <t>0049450</t>
  </si>
  <si>
    <t>0049460</t>
  </si>
  <si>
    <t>0049470</t>
  </si>
  <si>
    <t>Property</t>
  </si>
  <si>
    <t>Land Acquisitions</t>
  </si>
  <si>
    <t>0049485</t>
  </si>
  <si>
    <t>Land Improvements</t>
  </si>
  <si>
    <t>0049495</t>
  </si>
  <si>
    <t>Building Acquisition</t>
  </si>
  <si>
    <t>0049505</t>
  </si>
  <si>
    <t>0049520</t>
  </si>
  <si>
    <t>0049530</t>
  </si>
  <si>
    <t>0049540</t>
  </si>
  <si>
    <t>Infrastructure</t>
  </si>
  <si>
    <t>0049550</t>
  </si>
  <si>
    <t>All Other Property</t>
  </si>
  <si>
    <t>0049560</t>
  </si>
  <si>
    <t>0049575</t>
  </si>
  <si>
    <t>Facilities Acquisition &amp; Contruction</t>
  </si>
  <si>
    <t>0049585</t>
  </si>
  <si>
    <t>0049650</t>
  </si>
  <si>
    <t>0049660</t>
  </si>
  <si>
    <t>0049670</t>
  </si>
  <si>
    <t>0049685</t>
  </si>
  <si>
    <t>0049695</t>
  </si>
  <si>
    <t>0049705</t>
  </si>
  <si>
    <t>0049715</t>
  </si>
  <si>
    <t>0049725</t>
  </si>
  <si>
    <t>0049735</t>
  </si>
  <si>
    <t>0049745</t>
  </si>
  <si>
    <t>0049755</t>
  </si>
  <si>
    <t>0049765</t>
  </si>
  <si>
    <t>TOTAL IV. FACILITY &amp; CONSTRUCTION SERVICES</t>
  </si>
  <si>
    <t>V.</t>
  </si>
  <si>
    <t>DEBT SERVICE</t>
  </si>
  <si>
    <t>Debt Service</t>
  </si>
  <si>
    <t>0050000</t>
  </si>
  <si>
    <t>Banking Services</t>
  </si>
  <si>
    <t>0050050</t>
  </si>
  <si>
    <t>0050100</t>
  </si>
  <si>
    <t>0050200</t>
  </si>
  <si>
    <t>0050300</t>
  </si>
  <si>
    <t>Interest (long-term)</t>
  </si>
  <si>
    <t>0050400</t>
  </si>
  <si>
    <t>Redemption of Principal</t>
  </si>
  <si>
    <t>0050500</t>
  </si>
  <si>
    <t>Miscellaneous Expenditures (Including</t>
  </si>
  <si>
    <t>Bond Issuance &amp; Other Costs)</t>
  </si>
  <si>
    <t>0050600</t>
  </si>
  <si>
    <t>Pay Escrow Agents For Defeasance of Debt</t>
  </si>
  <si>
    <t>0050700</t>
  </si>
  <si>
    <t>0050800</t>
  </si>
  <si>
    <t>TOTAL V. DEBT SERVICE</t>
  </si>
  <si>
    <t>TOTAL I - V. ALL EXPENDITURES</t>
  </si>
  <si>
    <t>VI.</t>
  </si>
  <si>
    <t>OTHER FINANCING SOURCES (USES)</t>
  </si>
  <si>
    <t>Sale of Bonds</t>
  </si>
  <si>
    <t>Bond Principal</t>
  </si>
  <si>
    <t>0050910</t>
  </si>
  <si>
    <t>Accrued Interest &amp; Premiums on Bonds Sold</t>
  </si>
  <si>
    <t>0050920</t>
  </si>
  <si>
    <t>Interfund Transfers</t>
  </si>
  <si>
    <t>Transfers of Indirect Cost</t>
  </si>
  <si>
    <t>0050930</t>
  </si>
  <si>
    <t>Operating Transfers In</t>
  </si>
  <si>
    <t>0050940</t>
  </si>
  <si>
    <t>Proceeds - Disposal Of Real/Personal Prop</t>
  </si>
  <si>
    <t>0050960</t>
  </si>
  <si>
    <t>Proceeds</t>
  </si>
  <si>
    <t>Loan Proceeds</t>
  </si>
  <si>
    <t>0050980</t>
  </si>
  <si>
    <t>Capital Lease Proceeds</t>
  </si>
  <si>
    <t>0050990</t>
  </si>
  <si>
    <t>TOTAL A. Other Sources of Funds</t>
  </si>
  <si>
    <t>Fund Transfers</t>
  </si>
  <si>
    <t>Operating Transfers Out</t>
  </si>
  <si>
    <t>0051115</t>
  </si>
  <si>
    <t>0051120</t>
  </si>
  <si>
    <t>Miscellaneous Transfers</t>
  </si>
  <si>
    <t>0051130</t>
  </si>
  <si>
    <t>Local Revenue Transfers - Charter Schools</t>
  </si>
  <si>
    <t>0051140</t>
  </si>
  <si>
    <t>TOTAL B. Other Uses of Funds</t>
  </si>
  <si>
    <t>TOTAL VI. OTHER FINANCING SOURCES (USES)</t>
  </si>
  <si>
    <t>0051185</t>
  </si>
  <si>
    <t>FUND BALANCES</t>
  </si>
  <si>
    <t>EXCESS (DEFICIENCY) OF REVENUE</t>
  </si>
  <si>
    <t>AND OTHER SOURCES OVER</t>
  </si>
  <si>
    <t>EXPENDITURES AND OTHER USES</t>
  </si>
  <si>
    <t>(Auto Calc) &gt;&gt;</t>
  </si>
  <si>
    <t>RESIDUAL EQUITY TRANSFER IN</t>
  </si>
  <si>
    <t>RESIDUAL EQUITY TRANSER OUT</t>
  </si>
  <si>
    <t>PRIOR YEAR ADJUSTMENT</t>
  </si>
  <si>
    <t>BALANCES AT BEGINNING OF YEAR</t>
  </si>
  <si>
    <t>BALANCES AT END OF YEAR</t>
  </si>
  <si>
    <t>EQA Custom Account</t>
  </si>
  <si>
    <t>Uncategorized Expenses</t>
  </si>
  <si>
    <t>Non-Cash Lease Expense</t>
  </si>
  <si>
    <t>Lease Interest Expense</t>
  </si>
  <si>
    <t>LFNO Custom Account</t>
  </si>
  <si>
    <t>ASSETS</t>
  </si>
  <si>
    <t>Cash and Cash Investments</t>
  </si>
  <si>
    <t>0051310</t>
  </si>
  <si>
    <t>(101-115)</t>
  </si>
  <si>
    <t>BS1</t>
  </si>
  <si>
    <t>Bank accounts</t>
  </si>
  <si>
    <t>BS2</t>
  </si>
  <si>
    <t>BS3</t>
  </si>
  <si>
    <t>BS4</t>
  </si>
  <si>
    <t>BS5</t>
  </si>
  <si>
    <t>BS6</t>
  </si>
  <si>
    <t>BS7</t>
  </si>
  <si>
    <t>BS8</t>
  </si>
  <si>
    <t>1013000-3</t>
  </si>
  <si>
    <t>1013000-1</t>
  </si>
  <si>
    <t>1013000-2</t>
  </si>
  <si>
    <t>1011000-3</t>
  </si>
  <si>
    <t>1011000-2</t>
  </si>
  <si>
    <t>BS9</t>
  </si>
  <si>
    <t>Undeposited Funds</t>
  </si>
  <si>
    <t>Accounts Receivable</t>
  </si>
  <si>
    <t>Petty Cash</t>
  </si>
  <si>
    <t>Receivables</t>
  </si>
  <si>
    <t>0051320</t>
  </si>
  <si>
    <t>(121-161)</t>
  </si>
  <si>
    <t>BS22</t>
  </si>
  <si>
    <t>Allowance for Doubtful accounts</t>
  </si>
  <si>
    <t>Inventory</t>
  </si>
  <si>
    <t>(171-172)</t>
  </si>
  <si>
    <t>Other Current Assets</t>
  </si>
  <si>
    <t>0051340</t>
  </si>
  <si>
    <t>(181-199)</t>
  </si>
  <si>
    <t xml:space="preserve">Advance to Employee </t>
  </si>
  <si>
    <t>Advance to Employee</t>
  </si>
  <si>
    <t>Prepaid Expenses</t>
  </si>
  <si>
    <t>BS23</t>
  </si>
  <si>
    <t>Security Deposit</t>
  </si>
  <si>
    <t>Deferred rent asset</t>
  </si>
  <si>
    <t>BS24</t>
  </si>
  <si>
    <t>Other Assets</t>
  </si>
  <si>
    <t>Due from Others</t>
  </si>
  <si>
    <t>BS25</t>
  </si>
  <si>
    <t>(211-271)</t>
  </si>
  <si>
    <t>Machinery and Equipment// Furniture &amp; Fixtures</t>
  </si>
  <si>
    <t>0068500</t>
  </si>
  <si>
    <t>BS32</t>
  </si>
  <si>
    <t>Land, Building, Furniture and Equipment</t>
  </si>
  <si>
    <t>Accumulated Depreciation</t>
  </si>
  <si>
    <t>BS37</t>
  </si>
  <si>
    <t>Depreciation Expense</t>
  </si>
  <si>
    <t>Leasehold Improvements</t>
  </si>
  <si>
    <t>BS31</t>
  </si>
  <si>
    <t>Furniture &amp; Fixtures</t>
  </si>
  <si>
    <t>Software</t>
  </si>
  <si>
    <t>Building Improvements</t>
  </si>
  <si>
    <t>ROU Asset Equipment</t>
  </si>
  <si>
    <t>BS33</t>
  </si>
  <si>
    <t>ROU Asset Equipment Depreciation</t>
  </si>
  <si>
    <t>Construction in Progress</t>
  </si>
  <si>
    <t>Investment Account</t>
  </si>
  <si>
    <t>0051350</t>
  </si>
  <si>
    <t>BS26</t>
  </si>
  <si>
    <t>Endowment</t>
  </si>
  <si>
    <t>BS27</t>
  </si>
  <si>
    <t>TOTAL ASSETS</t>
  </si>
  <si>
    <t>LIABILITIES</t>
  </si>
  <si>
    <t>Payables</t>
  </si>
  <si>
    <t>0052100</t>
  </si>
  <si>
    <t>(401-472)</t>
  </si>
  <si>
    <t>Accounts Payable</t>
  </si>
  <si>
    <t>BS38</t>
  </si>
  <si>
    <t>Deferred Revenues</t>
  </si>
  <si>
    <t>0052260</t>
  </si>
  <si>
    <t>BS40</t>
  </si>
  <si>
    <t>Other Liabilities</t>
  </si>
  <si>
    <t>Other Current Liabilities</t>
  </si>
  <si>
    <t>(491-499)</t>
  </si>
  <si>
    <t>Loan Payable</t>
  </si>
  <si>
    <t>BS51</t>
  </si>
  <si>
    <t>Loan(s)/Note(s) Payable</t>
  </si>
  <si>
    <t>Line of credit</t>
  </si>
  <si>
    <t>0052290</t>
  </si>
  <si>
    <t>BS52</t>
  </si>
  <si>
    <t>Line(s) of Credit</t>
  </si>
  <si>
    <t>Current portion, long term debt</t>
  </si>
  <si>
    <t>0052500</t>
  </si>
  <si>
    <t>Credit Card Payable</t>
  </si>
  <si>
    <t>Accrued rent liability ST</t>
  </si>
  <si>
    <t>BS39</t>
  </si>
  <si>
    <t>Accrued Expenses</t>
  </si>
  <si>
    <t>Accrued rent liability LT</t>
  </si>
  <si>
    <t>Accrued Salaries and Benefits</t>
  </si>
  <si>
    <t>Accrued Benefits</t>
  </si>
  <si>
    <t>Payroll Liabilities</t>
  </si>
  <si>
    <t>Health Insurance</t>
  </si>
  <si>
    <t>ER Retirement Contributions</t>
  </si>
  <si>
    <t>EE Retirement Contributions</t>
  </si>
  <si>
    <t>LA Unemployment Tax</t>
  </si>
  <si>
    <t>FSA</t>
  </si>
  <si>
    <t>DCare</t>
  </si>
  <si>
    <t>Garnishments</t>
  </si>
  <si>
    <t>Other Benefits</t>
  </si>
  <si>
    <t>Due to Union</t>
  </si>
  <si>
    <t>Due to Others</t>
  </si>
  <si>
    <t>Operating Lease Liability</t>
  </si>
  <si>
    <t>BS41</t>
  </si>
  <si>
    <t/>
  </si>
  <si>
    <t>Bonded Debt</t>
  </si>
  <si>
    <t>0052350</t>
  </si>
  <si>
    <t>Vested Compensated Absences</t>
  </si>
  <si>
    <t>0052400</t>
  </si>
  <si>
    <t>BS54</t>
  </si>
  <si>
    <t>Other Long-Term Obligations</t>
  </si>
  <si>
    <t>(OTH 5xx)</t>
  </si>
  <si>
    <t>Accrued Lease Obligation (LT)</t>
  </si>
  <si>
    <t>BS53</t>
  </si>
  <si>
    <t>Senior Debt</t>
  </si>
  <si>
    <t>TOTAL LIABILITIES</t>
  </si>
  <si>
    <t>Non-Spendable Fund Balance</t>
  </si>
  <si>
    <t>0052900</t>
  </si>
  <si>
    <t>Spendable Fund Balances</t>
  </si>
  <si>
    <t>a. Restricted Fund Balance</t>
  </si>
  <si>
    <t>0053200</t>
  </si>
  <si>
    <t>BS56</t>
  </si>
  <si>
    <t>Other Changes in Restricted Net Assets</t>
  </si>
  <si>
    <t>b. Committed Fund Balance</t>
  </si>
  <si>
    <t>0053300</t>
  </si>
  <si>
    <t>Opening Balance Equity</t>
  </si>
  <si>
    <t>c. Assigned Fund Balance</t>
  </si>
  <si>
    <t>0053400</t>
  </si>
  <si>
    <t>BS57</t>
  </si>
  <si>
    <t xml:space="preserve">Unreserved Retained Earnings </t>
  </si>
  <si>
    <t>d. Unassigned Fund Balance</t>
  </si>
  <si>
    <t>0053500</t>
  </si>
  <si>
    <t>Net Revenue</t>
  </si>
  <si>
    <t>Retained Earnings</t>
  </si>
  <si>
    <t>MAPPING</t>
  </si>
  <si>
    <t>ReDesign Schools Louisiana</t>
  </si>
  <si>
    <t>Profit and Loss</t>
  </si>
  <si>
    <t>July - December, 2024</t>
  </si>
  <si>
    <t>Total</t>
  </si>
  <si>
    <t xml:space="preserve">   4444444 Uncategorized Income</t>
  </si>
  <si>
    <t xml:space="preserve">      1121530 Pre K Teacher</t>
  </si>
  <si>
    <t xml:space="preserve">      1142190 Parent Liaison</t>
  </si>
  <si>
    <t xml:space="preserve">         2101530 Group Ins - PreK</t>
  </si>
  <si>
    <t xml:space="preserve">         2201530 SS - PreK</t>
  </si>
  <si>
    <t xml:space="preserve">         2251530 Medicare - PreK</t>
  </si>
  <si>
    <t xml:space="preserve">      2402231 Professional Development - Tuition</t>
  </si>
  <si>
    <t xml:space="preserve">      3001100 Other Instructional Services</t>
  </si>
  <si>
    <t xml:space="preserve">      3002130 Other Business Expenses</t>
  </si>
  <si>
    <t xml:space="preserve">      5001100 Communcation</t>
  </si>
  <si>
    <t>Wednesday, Mar 12, 2025 06:09:06 PM GMT-7 - Accrual Basis</t>
  </si>
  <si>
    <t>Profit and Loss by Customer - Dalton</t>
  </si>
  <si>
    <t>4</t>
  </si>
  <si>
    <t>CCS Stipends</t>
  </si>
  <si>
    <t>DCA Stipends</t>
  </si>
  <si>
    <t>Tutoring</t>
  </si>
  <si>
    <t>Total 4</t>
  </si>
  <si>
    <t>5</t>
  </si>
  <si>
    <t>ESSER 3 EB</t>
  </si>
  <si>
    <t>ESSER 3 F</t>
  </si>
  <si>
    <t>ESSER 3 INC</t>
  </si>
  <si>
    <t>Homeless ARP</t>
  </si>
  <si>
    <t>IDEA 611</t>
  </si>
  <si>
    <t>IDEA 619</t>
  </si>
  <si>
    <t>Total 5</t>
  </si>
  <si>
    <t>6</t>
  </si>
  <si>
    <t>CLSD B-5</t>
  </si>
  <si>
    <t>CLSD K-5</t>
  </si>
  <si>
    <t>Redesign</t>
  </si>
  <si>
    <t>Total 6</t>
  </si>
  <si>
    <t>7</t>
  </si>
  <si>
    <t>Total 7</t>
  </si>
  <si>
    <t>Wednesday, Mar 12, 2025 06:07:15 PM GMT-7 - Accrual Basis</t>
  </si>
  <si>
    <t>Form A Mapping For Semi-Annual 1</t>
  </si>
  <si>
    <t>Form A Mapping For Semi-Annual 2</t>
  </si>
  <si>
    <t>*formula requires edit for salary range</t>
  </si>
  <si>
    <t>*formula requires edit for salary total</t>
  </si>
  <si>
    <t>Year</t>
  </si>
  <si>
    <t>Site Code
(DOE Assigned Site Code)</t>
  </si>
  <si>
    <t>Site Code Description
(System/School Name)</t>
  </si>
  <si>
    <t xml:space="preserve">Type </t>
  </si>
  <si>
    <t>Category</t>
  </si>
  <si>
    <t xml:space="preserve">Description </t>
  </si>
  <si>
    <t>Source/Function Code (L.A.U.G.H)</t>
  </si>
  <si>
    <t xml:space="preserve">General Budget Revenue/Actual 2023- 2024 </t>
  </si>
  <si>
    <t>General Fund Budget/Budgeted 2024 - 2025</t>
  </si>
  <si>
    <t>General Fund SemiAnnual (Q1 and Q2) 2024 -2025</t>
  </si>
  <si>
    <t>General Fund SemiAnnual (Q3 and Q4) 2024-2025</t>
  </si>
  <si>
    <t xml:space="preserve">Special Revenue Funds/Actual 2023- 2024 </t>
  </si>
  <si>
    <t>Special Revenue Funds/Budgeted 2024 - 2025</t>
  </si>
  <si>
    <t>Special Revenue SemiAnnual (Q1 and Q2) 2024-2025</t>
  </si>
  <si>
    <t>Special Revenue SemiAnnual (Q3 and Q4) 2024-2025</t>
  </si>
  <si>
    <t xml:space="preserve">Revenue </t>
  </si>
  <si>
    <t>Local Sources</t>
  </si>
  <si>
    <t>State Sources (Other than MFP)</t>
  </si>
  <si>
    <t>MFP (Exclude School Lunch)</t>
  </si>
  <si>
    <t>MFP (School Lunch Fund)</t>
  </si>
  <si>
    <t>Federal Sources</t>
  </si>
  <si>
    <t>Revenues/Other Sources of Funds</t>
  </si>
  <si>
    <t xml:space="preserve">Instruction </t>
  </si>
  <si>
    <t>Support Services Program</t>
  </si>
  <si>
    <t>Operation of Non-Instructional Services</t>
  </si>
  <si>
    <t>Other Use Funds</t>
  </si>
  <si>
    <t>Other Use of Funds</t>
  </si>
  <si>
    <t>3AP003</t>
  </si>
  <si>
    <t>Redesign Dalton Charter School</t>
  </si>
  <si>
    <t>January - June, 2025</t>
  </si>
  <si>
    <t xml:space="preserve">      1510000 Interest On Investments</t>
  </si>
  <si>
    <t xml:space="preserve">      1921000 Unrestricted Contributions and Donations</t>
  </si>
  <si>
    <t xml:space="preserve">      3240000 LA4</t>
  </si>
  <si>
    <t xml:space="preserve">      4580000 FEMA Reimbursement</t>
  </si>
  <si>
    <t xml:space="preserve">      1121105 Kinder Teachers-Kindergarten</t>
  </si>
  <si>
    <t xml:space="preserve">      1151100 Aides-Regular Programs</t>
  </si>
  <si>
    <t xml:space="preserve">      1151530 PreK Para</t>
  </si>
  <si>
    <t xml:space="preserve">      2200000 Social Security</t>
  </si>
  <si>
    <t xml:space="preserve">      3002150 Speech Pathology and Audiology</t>
  </si>
  <si>
    <t xml:space="preserve">   4712000 ER Retirement Contributions</t>
  </si>
  <si>
    <t xml:space="preserve">      5001410 Field Trip</t>
  </si>
  <si>
    <t xml:space="preserve">      5821100 Travel-Regular Programs</t>
  </si>
  <si>
    <t xml:space="preserve">      5822220 -Travel-Instruction Dev Svcs</t>
  </si>
  <si>
    <t>Tuesday, Sep 02, 2025 06:54:57 PM GMT-7 - Accrual Basis</t>
  </si>
  <si>
    <t>Profit and Loss by Customer</t>
  </si>
  <si>
    <t>Tuesday, Sep 02, 2025 07:02:39 PM GMT-7 - Accrual Basis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</si>
</sst>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7" formatCode="&quot;$&quot;#,##0.00_);\(&quot;$&quot;#,##0.00\)"/>
    <numFmt numFmtId="8" formatCode="&quot;$&quot;#,##0.00_);[Red]\(&quot;$&quot;#,##0.00\)"/>
    <numFmt numFmtId="41" formatCode="_(* #,##0_);_(* \(#,##0\);_(* &quot;-&quot;_);_(@_)"/>
    <numFmt numFmtId="43" formatCode="_(* #,##0.00_);_(* \(#,##0.00\);_(* &quot;-&quot;??_);_(@_)"/>
    <numFmt numFmtId="164" formatCode="0.0%"/>
    <numFmt numFmtId="165" formatCode="_(* #,##0_);_(* \(#,##0\);_(* &quot;-&quot;??_);_(@_)"/>
    <numFmt numFmtId="166" formatCode="#,##0.00\ _€"/>
    <numFmt numFmtId="167" formatCode="&quot;$&quot;* #,##0.00\ _€"/>
    <numFmt numFmtId="168" formatCode="_(&quot;$&quot;* #,##0_);_(&quot;$&quot;* \(#,##0\);_(&quot;$&quot;* &quot;-&quot;??_);_(@_)"/>
  </numFmts>
  <fonts count="79">
    <font>
      <sz val="12"/>
      <name val="Arial MT"/>
    </font>
    <font>
      <sz val="11"/>
      <color theme="1"/>
      <name val="Calibri"/>
      <family val="2"/>
      <scheme val="minor"/>
    </font>
    <font>
      <sz val="11"/>
      <color theme="1"/>
      <name val="Calibri"/>
      <family val="2"/>
      <scheme val="minor"/>
    </font>
    <font>
      <sz val="10"/>
      <name val="Arial"/>
      <family val="2"/>
    </font>
    <font>
      <sz val="12"/>
      <name val="Arial"/>
      <family val="2"/>
    </font>
    <font>
      <b/>
      <sz val="14"/>
      <name val="Arial"/>
      <family val="2"/>
    </font>
    <font>
      <b/>
      <sz val="10"/>
      <name val="Arial"/>
      <family val="2"/>
    </font>
    <font>
      <b/>
      <sz val="12"/>
      <name val="Arial"/>
      <family val="2"/>
    </font>
    <font>
      <sz val="10"/>
      <name val="Arial"/>
      <family val="2"/>
    </font>
    <font>
      <sz val="11"/>
      <name val="Arial"/>
      <family val="2"/>
    </font>
    <font>
      <b/>
      <sz val="11"/>
      <name val="Arial"/>
      <family val="2"/>
    </font>
    <font>
      <sz val="9"/>
      <name val="Arial"/>
      <family val="2"/>
    </font>
    <font>
      <sz val="14"/>
      <name val="Arial"/>
      <family val="2"/>
    </font>
    <font>
      <i/>
      <sz val="11"/>
      <name val="Arial"/>
      <family val="2"/>
    </font>
    <font>
      <b/>
      <u/>
      <sz val="11"/>
      <name val="Arial"/>
      <family val="2"/>
    </font>
    <font>
      <u/>
      <sz val="11"/>
      <name val="Arial"/>
      <family val="2"/>
    </font>
    <font>
      <b/>
      <sz val="12"/>
      <name val="Arial MT"/>
    </font>
    <font>
      <b/>
      <u/>
      <sz val="14"/>
      <name val="Arial"/>
      <family val="2"/>
    </font>
    <font>
      <sz val="11"/>
      <name val="Symbol"/>
      <family val="1"/>
      <charset val="2"/>
    </font>
    <font>
      <sz val="7"/>
      <name val="Times New Roman"/>
      <family val="1"/>
    </font>
    <font>
      <sz val="11"/>
      <name val="Calibri"/>
      <family val="2"/>
    </font>
    <font>
      <i/>
      <sz val="11"/>
      <name val="Calibri"/>
      <family val="2"/>
    </font>
    <font>
      <sz val="11"/>
      <color rgb="FF0070C0"/>
      <name val="Symbol"/>
      <family val="1"/>
      <charset val="2"/>
    </font>
    <font>
      <sz val="7"/>
      <color rgb="FF0070C0"/>
      <name val="Times New Roman"/>
      <family val="1"/>
    </font>
    <font>
      <sz val="11"/>
      <color rgb="FF0070C0"/>
      <name val="Calibri"/>
      <family val="2"/>
    </font>
    <font>
      <u/>
      <sz val="10"/>
      <name val="Arial"/>
      <family val="2"/>
    </font>
    <font>
      <b/>
      <sz val="14"/>
      <name val="Arial MT"/>
    </font>
    <font>
      <sz val="12"/>
      <name val="Arial MT"/>
    </font>
    <font>
      <b/>
      <sz val="8"/>
      <color theme="0"/>
      <name val="Arial"/>
      <family val="2"/>
    </font>
    <font>
      <sz val="8"/>
      <name val="Arial"/>
      <family val="2"/>
    </font>
    <font>
      <b/>
      <sz val="8"/>
      <name val="Arial"/>
      <family val="2"/>
    </font>
    <font>
      <b/>
      <sz val="9"/>
      <color indexed="8"/>
      <name val="Arial"/>
      <family val="2"/>
    </font>
    <font>
      <b/>
      <sz val="8"/>
      <color indexed="8"/>
      <name val="Arial"/>
      <family val="2"/>
    </font>
    <font>
      <sz val="8"/>
      <color indexed="8"/>
      <name val="Arial"/>
      <family val="2"/>
    </font>
    <font>
      <sz val="12"/>
      <color rgb="FF000000"/>
      <name val="Calibri"/>
      <family val="2"/>
      <scheme val="minor"/>
    </font>
    <font>
      <sz val="11"/>
      <color rgb="FFFF0000"/>
      <name val="Calibri"/>
      <family val="2"/>
    </font>
    <font>
      <sz val="10"/>
      <color rgb="FF000000"/>
      <name val="Calibri"/>
      <family val="2"/>
    </font>
    <font>
      <sz val="10"/>
      <name val="Calibri"/>
      <family val="2"/>
    </font>
    <font>
      <b/>
      <sz val="10"/>
      <color rgb="FF000000"/>
      <name val="Calibri"/>
      <family val="2"/>
    </font>
    <font>
      <b/>
      <sz val="12"/>
      <color rgb="FF000000"/>
      <name val="Calibri"/>
      <family val="2"/>
      <scheme val="minor"/>
    </font>
    <font>
      <sz val="12"/>
      <color theme="1"/>
      <name val="Arial"/>
      <family val="2"/>
    </font>
    <font>
      <sz val="12"/>
      <color rgb="FF000000"/>
      <name val="Arial"/>
      <family val="2"/>
    </font>
    <font>
      <sz val="12"/>
      <color rgb="FFFF0000"/>
      <name val="Calibri"/>
      <family val="2"/>
      <scheme val="minor"/>
    </font>
    <font>
      <b/>
      <sz val="12"/>
      <color rgb="FFFF0000"/>
      <name val="Calibri"/>
      <family val="2"/>
      <scheme val="minor"/>
    </font>
    <font>
      <sz val="7"/>
      <name val="Arial"/>
      <family val="2"/>
    </font>
    <font>
      <b/>
      <sz val="18"/>
      <name val="Arial"/>
      <family val="2"/>
    </font>
    <font>
      <b/>
      <sz val="9"/>
      <name val="Arial"/>
      <family val="2"/>
    </font>
    <font>
      <sz val="10"/>
      <color indexed="12"/>
      <name val="Arial"/>
      <family val="2"/>
    </font>
    <font>
      <b/>
      <u/>
      <sz val="12"/>
      <name val="Arial"/>
      <family val="2"/>
    </font>
    <font>
      <sz val="11"/>
      <color rgb="FF000000"/>
      <name val="Calibri"/>
      <family val="2"/>
      <scheme val="minor"/>
    </font>
    <font>
      <b/>
      <sz val="12"/>
      <color rgb="FF0000FF"/>
      <name val="&quot;Arial MT&quot;"/>
    </font>
    <font>
      <b/>
      <sz val="12"/>
      <color theme="1"/>
      <name val="&quot;Arial MT&quot;"/>
    </font>
    <font>
      <b/>
      <sz val="12"/>
      <color theme="1"/>
      <name val="Arial"/>
      <family val="2"/>
    </font>
    <font>
      <sz val="11"/>
      <color theme="1"/>
      <name val="Calibri"/>
      <family val="2"/>
    </font>
    <font>
      <sz val="12"/>
      <color theme="1"/>
      <name val="&quot;Arial MT&quot;"/>
    </font>
    <font>
      <sz val="12"/>
      <color rgb="FF0000FF"/>
      <name val="&quot;Arial MT&quot;"/>
    </font>
    <font>
      <b/>
      <u/>
      <sz val="14"/>
      <color theme="1"/>
      <name val="&quot;Arial MT&quot;"/>
    </font>
    <font>
      <sz val="11"/>
      <color theme="1"/>
      <name val="Arial"/>
      <family val="2"/>
    </font>
    <font>
      <sz val="11"/>
      <color rgb="FF000000"/>
      <name val="Arial"/>
      <family val="2"/>
    </font>
    <font>
      <b/>
      <sz val="14"/>
      <color theme="1"/>
      <name val="&quot;Arial MT&quot;"/>
    </font>
    <font>
      <b/>
      <i/>
      <sz val="12"/>
      <color theme="1"/>
      <name val="&quot;Arial MT&quot;"/>
    </font>
    <font>
      <b/>
      <sz val="11"/>
      <color theme="1"/>
      <name val="&quot;Arial MT&quot;"/>
    </font>
    <font>
      <i/>
      <sz val="12"/>
      <color theme="1"/>
      <name val="&quot;Arial MT&quot;"/>
    </font>
    <font>
      <sz val="11"/>
      <color rgb="FF404040"/>
      <name val="&quot;Avenir Next forINTUIT&quot;"/>
    </font>
    <font>
      <sz val="8"/>
      <color rgb="FF000000"/>
      <name val="Arial"/>
      <family val="2"/>
    </font>
    <font>
      <sz val="9"/>
      <color rgb="FF000000"/>
      <name val="Arial"/>
      <family val="2"/>
    </font>
    <font>
      <sz val="11"/>
      <color rgb="FF404040"/>
      <name val="Arial"/>
      <family val="2"/>
    </font>
    <font>
      <b/>
      <sz val="11"/>
      <color rgb="FFFF0000"/>
      <name val="Calibri"/>
      <family val="2"/>
      <scheme val="minor"/>
    </font>
    <font>
      <b/>
      <sz val="14"/>
      <color indexed="8"/>
      <name val="Arial"/>
    </font>
    <font>
      <b/>
      <sz val="10"/>
      <color indexed="8"/>
      <name val="Arial"/>
    </font>
    <font>
      <b/>
      <sz val="9"/>
      <color indexed="8"/>
      <name val="Arial"/>
    </font>
    <font>
      <b/>
      <sz val="8"/>
      <color indexed="8"/>
      <name val="Arial"/>
    </font>
    <font>
      <sz val="8"/>
      <color indexed="8"/>
      <name val="Arial"/>
    </font>
    <font>
      <b/>
      <sz val="12"/>
      <name val="Times New Roman"/>
      <family val="1"/>
    </font>
    <font>
      <b/>
      <sz val="12"/>
      <color rgb="FF030303"/>
      <name val="Times New Roman"/>
      <family val="1"/>
    </font>
    <font>
      <b/>
      <sz val="12"/>
      <color theme="1"/>
      <name val="Times New Roman"/>
      <family val="1"/>
    </font>
    <font>
      <sz val="12"/>
      <color theme="1"/>
      <name val="Times New Roman"/>
      <family val="1"/>
    </font>
    <font>
      <sz val="12"/>
      <name val="Times New Roman"/>
      <family val="1"/>
    </font>
    <font>
      <sz val="11"/>
      <color theme="1"/>
      <name val="Times New Roman"/>
      <family val="1"/>
    </font>
  </fonts>
  <fills count="32">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indexed="43"/>
        <bgColor indexed="8"/>
      </patternFill>
    </fill>
    <fill>
      <patternFill patternType="solid">
        <fgColor rgb="FFFFCC9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rgb="FFFFFF99"/>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FF99CC"/>
        <bgColor indexed="64"/>
      </patternFill>
    </fill>
    <fill>
      <patternFill patternType="solid">
        <fgColor theme="5" tint="0.59999389629810485"/>
        <bgColor indexed="64"/>
      </patternFill>
    </fill>
    <fill>
      <patternFill patternType="solid">
        <fgColor theme="8"/>
        <bgColor indexed="64"/>
      </patternFill>
    </fill>
    <fill>
      <patternFill patternType="solid">
        <fgColor rgb="FFFFFF00"/>
        <bgColor indexed="64"/>
      </patternFill>
    </fill>
    <fill>
      <patternFill patternType="solid">
        <fgColor rgb="FFEDEDED"/>
        <bgColor rgb="FFEDEDED"/>
      </patternFill>
    </fill>
    <fill>
      <patternFill patternType="solid">
        <fgColor theme="3"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bgColor indexed="64"/>
      </patternFill>
    </fill>
    <fill>
      <patternFill patternType="solid">
        <fgColor rgb="FF92D050"/>
        <bgColor indexed="64"/>
      </patternFill>
    </fill>
    <fill>
      <patternFill patternType="solid">
        <fgColor indexed="22"/>
        <bgColor indexed="8"/>
      </patternFill>
    </fill>
    <fill>
      <patternFill patternType="solid">
        <fgColor rgb="FFEAD1DC"/>
        <bgColor rgb="FFEAD1DC"/>
      </patternFill>
    </fill>
    <fill>
      <patternFill patternType="solid">
        <fgColor rgb="FFFFFF00"/>
        <bgColor rgb="FFFFFF00"/>
      </patternFill>
    </fill>
    <fill>
      <patternFill patternType="solid">
        <fgColor rgb="FF9FC5E8"/>
        <bgColor rgb="FF9FC5E8"/>
      </patternFill>
    </fill>
    <fill>
      <patternFill patternType="solid">
        <fgColor rgb="FFFF0000"/>
        <bgColor rgb="FFFF0000"/>
      </patternFill>
    </fill>
    <fill>
      <patternFill patternType="solid">
        <fgColor rgb="FFECEEF1"/>
        <bgColor rgb="FFECEEF1"/>
      </patternFill>
    </fill>
    <fill>
      <patternFill patternType="solid">
        <fgColor rgb="FFFF0000"/>
        <bgColor indexed="64"/>
      </patternFill>
    </fill>
  </fills>
  <borders count="246">
    <border>
      <left/>
      <right/>
      <top/>
      <bottom/>
      <diagonal/>
    </border>
    <border>
      <left style="double">
        <color indexed="8"/>
      </left>
      <right/>
      <top style="double">
        <color indexed="8"/>
      </top>
      <bottom/>
      <diagonal/>
    </border>
    <border>
      <left style="double">
        <color indexed="8"/>
      </left>
      <right/>
      <top/>
      <bottom/>
      <diagonal/>
    </border>
    <border>
      <left/>
      <right/>
      <top style="double">
        <color indexed="8"/>
      </top>
      <bottom/>
      <diagonal/>
    </border>
    <border>
      <left style="double">
        <color indexed="8"/>
      </left>
      <right/>
      <top/>
      <bottom style="double">
        <color indexed="8"/>
      </bottom>
      <diagonal/>
    </border>
    <border>
      <left style="double">
        <color indexed="64"/>
      </left>
      <right/>
      <top style="thin">
        <color indexed="22"/>
      </top>
      <bottom style="thin">
        <color indexed="22"/>
      </bottom>
      <diagonal/>
    </border>
    <border>
      <left/>
      <right/>
      <top style="thin">
        <color indexed="22"/>
      </top>
      <bottom style="thin">
        <color indexed="22"/>
      </bottom>
      <diagonal/>
    </border>
    <border>
      <left style="double">
        <color indexed="8"/>
      </left>
      <right style="double">
        <color indexed="22"/>
      </right>
      <top/>
      <bottom style="hair">
        <color indexed="64"/>
      </bottom>
      <diagonal/>
    </border>
    <border>
      <left style="double">
        <color indexed="8"/>
      </left>
      <right/>
      <top style="hair">
        <color indexed="64"/>
      </top>
      <bottom/>
      <diagonal/>
    </border>
    <border>
      <left style="double">
        <color indexed="8"/>
      </left>
      <right style="double">
        <color indexed="22"/>
      </right>
      <top style="thin">
        <color indexed="22"/>
      </top>
      <bottom style="thin">
        <color indexed="22"/>
      </bottom>
      <diagonal/>
    </border>
    <border>
      <left style="thin">
        <color indexed="8"/>
      </left>
      <right style="thin">
        <color indexed="55"/>
      </right>
      <top style="thin">
        <color indexed="8"/>
      </top>
      <bottom style="thin">
        <color indexed="55"/>
      </bottom>
      <diagonal/>
    </border>
    <border>
      <left style="thin">
        <color indexed="55"/>
      </left>
      <right style="thin">
        <color indexed="8"/>
      </right>
      <top style="thin">
        <color indexed="8"/>
      </top>
      <bottom style="thin">
        <color indexed="55"/>
      </bottom>
      <diagonal/>
    </border>
    <border>
      <left style="thin">
        <color indexed="8"/>
      </left>
      <right style="thin">
        <color indexed="55"/>
      </right>
      <top style="thin">
        <color indexed="55"/>
      </top>
      <bottom style="thin">
        <color indexed="55"/>
      </bottom>
      <diagonal/>
    </border>
    <border>
      <left style="thin">
        <color indexed="55"/>
      </left>
      <right style="thin">
        <color indexed="8"/>
      </right>
      <top style="thin">
        <color indexed="55"/>
      </top>
      <bottom style="thin">
        <color indexed="55"/>
      </bottom>
      <diagonal/>
    </border>
    <border>
      <left style="thin">
        <color indexed="8"/>
      </left>
      <right style="thin">
        <color indexed="55"/>
      </right>
      <top style="thin">
        <color indexed="55"/>
      </top>
      <bottom style="thin">
        <color indexed="8"/>
      </bottom>
      <diagonal/>
    </border>
    <border>
      <left style="thin">
        <color indexed="55"/>
      </left>
      <right style="thin">
        <color indexed="8"/>
      </right>
      <top style="thin">
        <color indexed="55"/>
      </top>
      <bottom style="thin">
        <color indexed="8"/>
      </bottom>
      <diagonal/>
    </border>
    <border>
      <left/>
      <right style="double">
        <color indexed="8"/>
      </right>
      <top style="thin">
        <color indexed="22"/>
      </top>
      <bottom style="thin">
        <color indexed="22"/>
      </bottom>
      <diagonal/>
    </border>
    <border>
      <left style="double">
        <color indexed="23"/>
      </left>
      <right style="double">
        <color indexed="23"/>
      </right>
      <top style="thin">
        <color indexed="22"/>
      </top>
      <bottom style="thin">
        <color indexed="22"/>
      </bottom>
      <diagonal/>
    </border>
    <border>
      <left style="double">
        <color indexed="23"/>
      </left>
      <right style="double">
        <color indexed="23"/>
      </right>
      <top style="thin">
        <color indexed="55"/>
      </top>
      <bottom style="thin">
        <color indexed="55"/>
      </bottom>
      <diagonal/>
    </border>
    <border>
      <left style="double">
        <color indexed="23"/>
      </left>
      <right style="double">
        <color indexed="23"/>
      </right>
      <top style="thin">
        <color indexed="55"/>
      </top>
      <bottom style="thin">
        <color indexed="22"/>
      </bottom>
      <diagonal/>
    </border>
    <border>
      <left/>
      <right style="double">
        <color indexed="23"/>
      </right>
      <top style="thin">
        <color indexed="22"/>
      </top>
      <bottom style="thin">
        <color indexed="22"/>
      </bottom>
      <diagonal/>
    </border>
    <border>
      <left style="double">
        <color indexed="23"/>
      </left>
      <right style="thin">
        <color indexed="23"/>
      </right>
      <top style="thin">
        <color indexed="22"/>
      </top>
      <bottom style="thin">
        <color indexed="22"/>
      </bottom>
      <diagonal/>
    </border>
    <border>
      <left/>
      <right style="double">
        <color indexed="23"/>
      </right>
      <top style="thin">
        <color indexed="22"/>
      </top>
      <bottom style="thin">
        <color indexed="55"/>
      </bottom>
      <diagonal/>
    </border>
    <border>
      <left style="double">
        <color indexed="23"/>
      </left>
      <right style="thin">
        <color indexed="23"/>
      </right>
      <top style="thin">
        <color indexed="22"/>
      </top>
      <bottom style="thin">
        <color indexed="55"/>
      </bottom>
      <diagonal/>
    </border>
    <border>
      <left style="double">
        <color indexed="23"/>
      </left>
      <right/>
      <top style="thin">
        <color indexed="22"/>
      </top>
      <bottom style="thin">
        <color indexed="22"/>
      </bottom>
      <diagonal/>
    </border>
    <border>
      <left style="thin">
        <color indexed="23"/>
      </left>
      <right style="double">
        <color indexed="23"/>
      </right>
      <top style="thin">
        <color indexed="22"/>
      </top>
      <bottom style="thin">
        <color indexed="22"/>
      </bottom>
      <diagonal/>
    </border>
    <border>
      <left style="thin">
        <color indexed="23"/>
      </left>
      <right style="double">
        <color indexed="23"/>
      </right>
      <top/>
      <bottom style="thin">
        <color indexed="22"/>
      </bottom>
      <diagonal/>
    </border>
    <border>
      <left style="double">
        <color indexed="64"/>
      </left>
      <right/>
      <top/>
      <bottom style="thin">
        <color indexed="22"/>
      </bottom>
      <diagonal/>
    </border>
    <border>
      <left/>
      <right/>
      <top/>
      <bottom style="thin">
        <color indexed="22"/>
      </bottom>
      <diagonal/>
    </border>
    <border>
      <left style="double">
        <color indexed="23"/>
      </left>
      <right style="double">
        <color indexed="23"/>
      </right>
      <top/>
      <bottom style="thin">
        <color indexed="22"/>
      </bottom>
      <diagonal/>
    </border>
    <border>
      <left style="double">
        <color indexed="23"/>
      </left>
      <right style="thin">
        <color indexed="23"/>
      </right>
      <top/>
      <bottom style="thin">
        <color indexed="22"/>
      </bottom>
      <diagonal/>
    </border>
    <border>
      <left/>
      <right style="double">
        <color indexed="23"/>
      </right>
      <top/>
      <bottom style="thin">
        <color indexed="22"/>
      </bottom>
      <diagonal/>
    </border>
    <border>
      <left style="double">
        <color indexed="23"/>
      </left>
      <right style="double">
        <color indexed="23"/>
      </right>
      <top/>
      <bottom style="thin">
        <color indexed="55"/>
      </bottom>
      <diagonal/>
    </border>
    <border>
      <left/>
      <right style="double">
        <color indexed="8"/>
      </right>
      <top/>
      <bottom style="thin">
        <color indexed="22"/>
      </bottom>
      <diagonal/>
    </border>
    <border>
      <left style="double">
        <color indexed="23"/>
      </left>
      <right/>
      <top/>
      <bottom style="thin">
        <color indexed="22"/>
      </bottom>
      <diagonal/>
    </border>
    <border>
      <left style="double">
        <color indexed="64"/>
      </left>
      <right/>
      <top style="thin">
        <color indexed="22"/>
      </top>
      <bottom/>
      <diagonal/>
    </border>
    <border>
      <left/>
      <right/>
      <top style="thin">
        <color indexed="22"/>
      </top>
      <bottom/>
      <diagonal/>
    </border>
    <border>
      <left style="double">
        <color indexed="23"/>
      </left>
      <right style="double">
        <color indexed="23"/>
      </right>
      <top style="thin">
        <color indexed="22"/>
      </top>
      <bottom/>
      <diagonal/>
    </border>
    <border>
      <left style="double">
        <color indexed="23"/>
      </left>
      <right style="thin">
        <color indexed="23"/>
      </right>
      <top style="thin">
        <color indexed="22"/>
      </top>
      <bottom/>
      <diagonal/>
    </border>
    <border>
      <left/>
      <right style="double">
        <color indexed="23"/>
      </right>
      <top style="thin">
        <color indexed="22"/>
      </top>
      <bottom/>
      <diagonal/>
    </border>
    <border>
      <left/>
      <right style="double">
        <color indexed="8"/>
      </right>
      <top style="thin">
        <color indexed="22"/>
      </top>
      <bottom/>
      <diagonal/>
    </border>
    <border>
      <left/>
      <right/>
      <top style="thin">
        <color indexed="55"/>
      </top>
      <bottom style="thin">
        <color indexed="55"/>
      </bottom>
      <diagonal/>
    </border>
    <border>
      <left/>
      <right style="double">
        <color indexed="8"/>
      </right>
      <top style="thin">
        <color indexed="55"/>
      </top>
      <bottom style="thin">
        <color indexed="55"/>
      </bottom>
      <diagonal/>
    </border>
    <border>
      <left/>
      <right style="double">
        <color indexed="23"/>
      </right>
      <top style="thin">
        <color indexed="55"/>
      </top>
      <bottom style="thin">
        <color indexed="22"/>
      </bottom>
      <diagonal/>
    </border>
    <border>
      <left/>
      <right style="double">
        <color indexed="23"/>
      </right>
      <top style="thin">
        <color indexed="55"/>
      </top>
      <bottom style="thin">
        <color indexed="55"/>
      </bottom>
      <diagonal/>
    </border>
    <border>
      <left style="double">
        <color indexed="23"/>
      </left>
      <right style="thin">
        <color indexed="23"/>
      </right>
      <top style="thin">
        <color indexed="55"/>
      </top>
      <bottom style="thin">
        <color indexed="22"/>
      </bottom>
      <diagonal/>
    </border>
    <border>
      <left style="double">
        <color indexed="23"/>
      </left>
      <right style="thin">
        <color indexed="23"/>
      </right>
      <top style="thin">
        <color indexed="55"/>
      </top>
      <bottom style="thin">
        <color indexed="55"/>
      </bottom>
      <diagonal/>
    </border>
    <border>
      <left/>
      <right/>
      <top style="thin">
        <color indexed="22"/>
      </top>
      <bottom style="double">
        <color indexed="8"/>
      </bottom>
      <diagonal/>
    </border>
    <border>
      <left style="double">
        <color indexed="23"/>
      </left>
      <right style="double">
        <color indexed="23"/>
      </right>
      <top style="thin">
        <color indexed="22"/>
      </top>
      <bottom style="double">
        <color indexed="8"/>
      </bottom>
      <diagonal/>
    </border>
    <border>
      <left style="double">
        <color indexed="23"/>
      </left>
      <right/>
      <top style="thin">
        <color indexed="22"/>
      </top>
      <bottom style="double">
        <color indexed="8"/>
      </bottom>
      <diagonal/>
    </border>
    <border>
      <left style="thin">
        <color indexed="23"/>
      </left>
      <right style="double">
        <color indexed="23"/>
      </right>
      <top style="thin">
        <color indexed="22"/>
      </top>
      <bottom style="double">
        <color indexed="8"/>
      </bottom>
      <diagonal/>
    </border>
    <border>
      <left/>
      <right style="double">
        <color indexed="8"/>
      </right>
      <top style="thin">
        <color indexed="22"/>
      </top>
      <bottom style="double">
        <color indexed="8"/>
      </bottom>
      <diagonal/>
    </border>
    <border>
      <left style="double">
        <color indexed="8"/>
      </left>
      <right style="double">
        <color indexed="22"/>
      </right>
      <top style="thin">
        <color indexed="22"/>
      </top>
      <bottom style="double">
        <color indexed="8"/>
      </bottom>
      <diagonal/>
    </border>
    <border>
      <left style="double">
        <color indexed="8"/>
      </left>
      <right/>
      <top style="hair">
        <color indexed="64"/>
      </top>
      <bottom style="double">
        <color indexed="8"/>
      </bottom>
      <diagonal/>
    </border>
    <border>
      <left style="double">
        <color indexed="64"/>
      </left>
      <right/>
      <top style="thin">
        <color indexed="22"/>
      </top>
      <bottom style="double">
        <color indexed="8"/>
      </bottom>
      <diagonal/>
    </border>
    <border>
      <left style="double">
        <color indexed="23"/>
      </left>
      <right style="thin">
        <color indexed="23"/>
      </right>
      <top style="thin">
        <color indexed="22"/>
      </top>
      <bottom style="double">
        <color indexed="8"/>
      </bottom>
      <diagonal/>
    </border>
    <border>
      <left/>
      <right style="double">
        <color indexed="23"/>
      </right>
      <top style="thin">
        <color indexed="22"/>
      </top>
      <bottom style="double">
        <color indexed="8"/>
      </bottom>
      <diagonal/>
    </border>
    <border>
      <left style="double">
        <color indexed="23"/>
      </left>
      <right style="double">
        <color indexed="23"/>
      </right>
      <top/>
      <bottom/>
      <diagonal/>
    </border>
    <border>
      <left/>
      <right style="double">
        <color indexed="8"/>
      </right>
      <top/>
      <bottom/>
      <diagonal/>
    </border>
    <border>
      <left style="double">
        <color indexed="8"/>
      </left>
      <right style="double">
        <color indexed="23"/>
      </right>
      <top style="hair">
        <color indexed="64"/>
      </top>
      <bottom/>
      <diagonal/>
    </border>
    <border>
      <left style="double">
        <color indexed="8"/>
      </left>
      <right style="double">
        <color indexed="23"/>
      </right>
      <top style="thin">
        <color indexed="8"/>
      </top>
      <bottom style="thin">
        <color indexed="22"/>
      </bottom>
      <diagonal/>
    </border>
    <border>
      <left style="double">
        <color indexed="8"/>
      </left>
      <right style="double">
        <color indexed="23"/>
      </right>
      <top style="thin">
        <color indexed="22"/>
      </top>
      <bottom style="thin">
        <color indexed="22"/>
      </bottom>
      <diagonal/>
    </border>
    <border>
      <left/>
      <right style="double">
        <color indexed="23"/>
      </right>
      <top/>
      <bottom/>
      <diagonal/>
    </border>
    <border>
      <left style="double">
        <color indexed="23"/>
      </left>
      <right style="thin">
        <color indexed="23"/>
      </right>
      <top style="double">
        <color indexed="8"/>
      </top>
      <bottom style="thin">
        <color indexed="55"/>
      </bottom>
      <diagonal/>
    </border>
    <border>
      <left/>
      <right style="double">
        <color indexed="23"/>
      </right>
      <top/>
      <bottom style="thin">
        <color indexed="55"/>
      </bottom>
      <diagonal/>
    </border>
    <border>
      <left style="double">
        <color indexed="23"/>
      </left>
      <right style="thin">
        <color indexed="55"/>
      </right>
      <top style="double">
        <color indexed="8"/>
      </top>
      <bottom/>
      <diagonal/>
    </border>
    <border>
      <left style="double">
        <color indexed="23"/>
      </left>
      <right style="thin">
        <color indexed="55"/>
      </right>
      <top/>
      <bottom style="thin">
        <color indexed="22"/>
      </bottom>
      <diagonal/>
    </border>
    <border>
      <left style="double">
        <color indexed="23"/>
      </left>
      <right style="thin">
        <color indexed="55"/>
      </right>
      <top style="thin">
        <color indexed="22"/>
      </top>
      <bottom style="thin">
        <color indexed="22"/>
      </bottom>
      <diagonal/>
    </border>
    <border>
      <left style="double">
        <color indexed="23"/>
      </left>
      <right style="thin">
        <color indexed="55"/>
      </right>
      <top style="thin">
        <color indexed="22"/>
      </top>
      <bottom/>
      <diagonal/>
    </border>
    <border>
      <left style="double">
        <color indexed="23"/>
      </left>
      <right style="thin">
        <color indexed="55"/>
      </right>
      <top style="thin">
        <color indexed="22"/>
      </top>
      <bottom style="double">
        <color indexed="8"/>
      </bottom>
      <diagonal/>
    </border>
    <border>
      <left style="double">
        <color indexed="23"/>
      </left>
      <right style="double">
        <color indexed="23"/>
      </right>
      <top style="thin">
        <color indexed="22"/>
      </top>
      <bottom style="thin">
        <color indexed="23"/>
      </bottom>
      <diagonal/>
    </border>
    <border>
      <left style="double">
        <color indexed="23"/>
      </left>
      <right style="thin">
        <color indexed="23"/>
      </right>
      <top style="thin">
        <color indexed="22"/>
      </top>
      <bottom style="thin">
        <color indexed="23"/>
      </bottom>
      <diagonal/>
    </border>
    <border>
      <left/>
      <right style="double">
        <color indexed="23"/>
      </right>
      <top style="thin">
        <color indexed="22"/>
      </top>
      <bottom style="thin">
        <color indexed="23"/>
      </bottom>
      <diagonal/>
    </border>
    <border>
      <left/>
      <right style="double">
        <color indexed="8"/>
      </right>
      <top style="thin">
        <color indexed="22"/>
      </top>
      <bottom style="thin">
        <color indexed="23"/>
      </bottom>
      <diagonal/>
    </border>
    <border>
      <left style="double">
        <color indexed="8"/>
      </left>
      <right style="double">
        <color indexed="22"/>
      </right>
      <top/>
      <bottom style="thin">
        <color indexed="22"/>
      </bottom>
      <diagonal/>
    </border>
    <border>
      <left style="double">
        <color indexed="23"/>
      </left>
      <right/>
      <top/>
      <bottom/>
      <diagonal/>
    </border>
    <border>
      <left style="thin">
        <color indexed="23"/>
      </left>
      <right style="double">
        <color indexed="23"/>
      </right>
      <top/>
      <bottom/>
      <diagonal/>
    </border>
    <border>
      <left style="double">
        <color indexed="23"/>
      </left>
      <right style="thin">
        <color indexed="23"/>
      </right>
      <top/>
      <bottom style="thin">
        <color indexed="55"/>
      </bottom>
      <diagonal/>
    </border>
    <border>
      <left style="double">
        <color indexed="8"/>
      </left>
      <right style="double">
        <color indexed="23"/>
      </right>
      <top/>
      <bottom style="thin">
        <color indexed="22"/>
      </bottom>
      <diagonal/>
    </border>
    <border>
      <left style="thin">
        <color indexed="8"/>
      </left>
      <right style="hair">
        <color indexed="22"/>
      </right>
      <top style="thin">
        <color indexed="8"/>
      </top>
      <bottom style="double">
        <color indexed="22"/>
      </bottom>
      <diagonal/>
    </border>
    <border>
      <left style="hair">
        <color indexed="22"/>
      </left>
      <right style="hair">
        <color indexed="22"/>
      </right>
      <top style="thin">
        <color indexed="8"/>
      </top>
      <bottom style="double">
        <color indexed="22"/>
      </bottom>
      <diagonal/>
    </border>
    <border>
      <left style="hair">
        <color indexed="22"/>
      </left>
      <right/>
      <top style="thin">
        <color indexed="8"/>
      </top>
      <bottom style="double">
        <color indexed="22"/>
      </bottom>
      <diagonal/>
    </border>
    <border>
      <left style="thin">
        <color indexed="8"/>
      </left>
      <right style="hair">
        <color indexed="22"/>
      </right>
      <top style="double">
        <color indexed="22"/>
      </top>
      <bottom style="thin">
        <color indexed="8"/>
      </bottom>
      <diagonal/>
    </border>
    <border>
      <left style="hair">
        <color indexed="22"/>
      </left>
      <right style="hair">
        <color indexed="22"/>
      </right>
      <top style="double">
        <color indexed="22"/>
      </top>
      <bottom style="thin">
        <color indexed="8"/>
      </bottom>
      <diagonal/>
    </border>
    <border>
      <left style="hair">
        <color indexed="22"/>
      </left>
      <right/>
      <top style="double">
        <color indexed="22"/>
      </top>
      <bottom style="thin">
        <color indexed="8"/>
      </bottom>
      <diagonal/>
    </border>
    <border>
      <left style="hair">
        <color indexed="22"/>
      </left>
      <right style="hair">
        <color indexed="22"/>
      </right>
      <top style="double">
        <color indexed="22"/>
      </top>
      <bottom style="double">
        <color indexed="22"/>
      </bottom>
      <diagonal/>
    </border>
    <border>
      <left style="thin">
        <color indexed="8"/>
      </left>
      <right style="hair">
        <color indexed="22"/>
      </right>
      <top style="double">
        <color indexed="22"/>
      </top>
      <bottom style="double">
        <color indexed="22"/>
      </bottom>
      <diagonal/>
    </border>
    <border>
      <left style="hair">
        <color indexed="22"/>
      </left>
      <right/>
      <top style="double">
        <color indexed="22"/>
      </top>
      <bottom style="double">
        <color indexed="22"/>
      </bottom>
      <diagonal/>
    </border>
    <border>
      <left style="double">
        <color indexed="23"/>
      </left>
      <right style="thin">
        <color indexed="23"/>
      </right>
      <top/>
      <bottom/>
      <diagonal/>
    </border>
    <border>
      <left/>
      <right style="double">
        <color indexed="8"/>
      </right>
      <top style="thin">
        <color indexed="8"/>
      </top>
      <bottom/>
      <diagonal/>
    </border>
    <border>
      <left/>
      <right style="double">
        <color indexed="8"/>
      </right>
      <top/>
      <bottom style="double">
        <color indexed="8"/>
      </bottom>
      <diagonal/>
    </border>
    <border>
      <left style="double">
        <color indexed="8"/>
      </left>
      <right style="double">
        <color indexed="8"/>
      </right>
      <top style="thin">
        <color indexed="8"/>
      </top>
      <bottom style="thin">
        <color indexed="8"/>
      </bottom>
      <diagonal/>
    </border>
    <border>
      <left style="double">
        <color indexed="8"/>
      </left>
      <right style="double">
        <color indexed="8"/>
      </right>
      <top style="thin">
        <color indexed="8"/>
      </top>
      <bottom style="double">
        <color indexed="8"/>
      </bottom>
      <diagonal/>
    </border>
    <border>
      <left/>
      <right style="double">
        <color indexed="8"/>
      </right>
      <top style="double">
        <color indexed="8"/>
      </top>
      <bottom/>
      <diagonal/>
    </border>
    <border>
      <left/>
      <right/>
      <top/>
      <bottom style="double">
        <color indexed="8"/>
      </bottom>
      <diagonal/>
    </border>
    <border>
      <left style="double">
        <color indexed="8"/>
      </left>
      <right style="thin">
        <color indexed="8"/>
      </right>
      <top style="thin">
        <color indexed="8"/>
      </top>
      <bottom/>
      <diagonal/>
    </border>
    <border>
      <left style="double">
        <color indexed="8"/>
      </left>
      <right style="thin">
        <color indexed="8"/>
      </right>
      <top/>
      <bottom/>
      <diagonal/>
    </border>
    <border>
      <left style="double">
        <color indexed="8"/>
      </left>
      <right style="thin">
        <color indexed="8"/>
      </right>
      <top/>
      <bottom style="double">
        <color indexed="8"/>
      </bottom>
      <diagonal/>
    </border>
    <border>
      <left style="double">
        <color indexed="22"/>
      </left>
      <right/>
      <top/>
      <bottom/>
      <diagonal/>
    </border>
    <border>
      <left style="double">
        <color indexed="8"/>
      </left>
      <right style="double">
        <color indexed="8"/>
      </right>
      <top style="double">
        <color indexed="8"/>
      </top>
      <bottom/>
      <diagonal/>
    </border>
    <border>
      <left style="double">
        <color indexed="8"/>
      </left>
      <right style="double">
        <color indexed="8"/>
      </right>
      <top/>
      <bottom style="double">
        <color indexed="8"/>
      </bottom>
      <diagonal/>
    </border>
    <border>
      <left style="double">
        <color indexed="8"/>
      </left>
      <right style="double">
        <color indexed="8"/>
      </right>
      <top/>
      <bottom/>
      <diagonal/>
    </border>
    <border>
      <left/>
      <right/>
      <top/>
      <bottom style="thin">
        <color indexed="8"/>
      </bottom>
      <diagonal/>
    </border>
    <border>
      <left/>
      <right style="double">
        <color indexed="8"/>
      </right>
      <top/>
      <bottom style="thin">
        <color indexed="8"/>
      </bottom>
      <diagonal/>
    </border>
    <border>
      <left style="double">
        <color indexed="8"/>
      </left>
      <right style="double">
        <color indexed="8"/>
      </right>
      <top style="double">
        <color indexed="8"/>
      </top>
      <bottom style="thin">
        <color indexed="8"/>
      </bottom>
      <diagonal/>
    </border>
    <border>
      <left style="double">
        <color indexed="8"/>
      </left>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double">
        <color indexed="8"/>
      </left>
      <right style="double">
        <color indexed="8"/>
      </right>
      <top style="thin">
        <color indexed="22"/>
      </top>
      <bottom style="thin">
        <color indexed="22"/>
      </bottom>
      <diagonal/>
    </border>
    <border>
      <left style="double">
        <color indexed="23"/>
      </left>
      <right style="double">
        <color indexed="23"/>
      </right>
      <top/>
      <bottom style="double">
        <color indexed="8"/>
      </bottom>
      <diagonal/>
    </border>
    <border>
      <left/>
      <right/>
      <top/>
      <bottom style="medium">
        <color theme="1"/>
      </bottom>
      <diagonal/>
    </border>
    <border>
      <left/>
      <right style="thin">
        <color indexed="55"/>
      </right>
      <top style="thin">
        <color indexed="22"/>
      </top>
      <bottom style="thin">
        <color indexed="22"/>
      </bottom>
      <diagonal/>
    </border>
    <border>
      <left style="double">
        <color theme="1"/>
      </left>
      <right/>
      <top style="double">
        <color theme="1"/>
      </top>
      <bottom/>
      <diagonal/>
    </border>
    <border>
      <left/>
      <right/>
      <top style="double">
        <color theme="1"/>
      </top>
      <bottom/>
      <diagonal/>
    </border>
    <border>
      <left/>
      <right style="double">
        <color theme="1"/>
      </right>
      <top style="double">
        <color theme="1"/>
      </top>
      <bottom/>
      <diagonal/>
    </border>
    <border>
      <left style="double">
        <color theme="1"/>
      </left>
      <right/>
      <top/>
      <bottom/>
      <diagonal/>
    </border>
    <border>
      <left/>
      <right style="double">
        <color theme="1"/>
      </right>
      <top/>
      <bottom/>
      <diagonal/>
    </border>
    <border>
      <left style="double">
        <color indexed="23"/>
      </left>
      <right style="double">
        <color indexed="8"/>
      </right>
      <top style="thin">
        <color indexed="22"/>
      </top>
      <bottom style="thin">
        <color theme="0" tint="-0.249977111117893"/>
      </bottom>
      <diagonal/>
    </border>
    <border>
      <left style="double">
        <color indexed="23"/>
      </left>
      <right style="double">
        <color indexed="8"/>
      </right>
      <top style="thin">
        <color theme="0" tint="-0.249977111117893"/>
      </top>
      <bottom style="thin">
        <color indexed="22"/>
      </bottom>
      <diagonal/>
    </border>
    <border>
      <left style="double">
        <color indexed="23"/>
      </left>
      <right style="double">
        <color indexed="8"/>
      </right>
      <top style="thin">
        <color theme="0" tint="-0.249977111117893"/>
      </top>
      <bottom/>
      <diagonal/>
    </border>
    <border>
      <left style="double">
        <color indexed="23"/>
      </left>
      <right style="thin">
        <color indexed="55"/>
      </right>
      <top/>
      <bottom style="thin">
        <color theme="0" tint="-0.249977111117893"/>
      </bottom>
      <diagonal/>
    </border>
    <border>
      <left/>
      <right style="double">
        <color indexed="23"/>
      </right>
      <top/>
      <bottom style="thin">
        <color theme="0" tint="-0.249977111117893"/>
      </bottom>
      <diagonal/>
    </border>
    <border>
      <left style="double">
        <color indexed="64"/>
      </left>
      <right style="double">
        <color indexed="64"/>
      </right>
      <top style="double">
        <color indexed="64"/>
      </top>
      <bottom style="double">
        <color indexed="64"/>
      </bottom>
      <diagonal/>
    </border>
    <border>
      <left/>
      <right/>
      <top style="thin">
        <color indexed="8"/>
      </top>
      <bottom style="thin">
        <color indexed="8"/>
      </bottom>
      <diagonal/>
    </border>
    <border>
      <left style="double">
        <color theme="1"/>
      </left>
      <right style="double">
        <color theme="1"/>
      </right>
      <top style="double">
        <color theme="1"/>
      </top>
      <bottom style="double">
        <color theme="1"/>
      </bottom>
      <diagonal/>
    </border>
    <border>
      <left/>
      <right/>
      <top style="double">
        <color theme="1"/>
      </top>
      <bottom style="double">
        <color theme="1"/>
      </bottom>
      <diagonal/>
    </border>
    <border>
      <left style="double">
        <color theme="1"/>
      </left>
      <right/>
      <top/>
      <bottom style="double">
        <color theme="1"/>
      </bottom>
      <diagonal/>
    </border>
    <border>
      <left/>
      <right/>
      <top/>
      <bottom style="double">
        <color theme="1"/>
      </bottom>
      <diagonal/>
    </border>
    <border>
      <left/>
      <right style="double">
        <color theme="1"/>
      </right>
      <top/>
      <bottom style="double">
        <color theme="1"/>
      </bottom>
      <diagonal/>
    </border>
    <border>
      <left style="double">
        <color theme="1"/>
      </left>
      <right style="double">
        <color theme="1"/>
      </right>
      <top style="double">
        <color theme="1"/>
      </top>
      <bottom/>
      <diagonal/>
    </border>
    <border>
      <left style="double">
        <color theme="1"/>
      </left>
      <right style="double">
        <color theme="1"/>
      </right>
      <top/>
      <bottom style="double">
        <color theme="1"/>
      </bottom>
      <diagonal/>
    </border>
    <border>
      <left style="double">
        <color theme="1"/>
      </left>
      <right style="double">
        <color indexed="8"/>
      </right>
      <top style="double">
        <color theme="1"/>
      </top>
      <bottom/>
      <diagonal/>
    </border>
    <border>
      <left style="double">
        <color indexed="8"/>
      </left>
      <right style="double">
        <color theme="1"/>
      </right>
      <top style="double">
        <color theme="1"/>
      </top>
      <bottom/>
      <diagonal/>
    </border>
    <border>
      <left style="double">
        <color theme="1"/>
      </left>
      <right style="double">
        <color indexed="8"/>
      </right>
      <top/>
      <bottom/>
      <diagonal/>
    </border>
    <border>
      <left style="double">
        <color indexed="8"/>
      </left>
      <right style="double">
        <color theme="1"/>
      </right>
      <top/>
      <bottom/>
      <diagonal/>
    </border>
    <border>
      <left style="double">
        <color theme="1"/>
      </left>
      <right style="double">
        <color indexed="8"/>
      </right>
      <top/>
      <bottom style="double">
        <color theme="1"/>
      </bottom>
      <diagonal/>
    </border>
    <border>
      <left style="double">
        <color indexed="8"/>
      </left>
      <right style="double">
        <color theme="1"/>
      </right>
      <top/>
      <bottom style="double">
        <color theme="1"/>
      </bottom>
      <diagonal/>
    </border>
    <border>
      <left/>
      <right/>
      <top style="thin">
        <color indexed="8"/>
      </top>
      <bottom/>
      <diagonal/>
    </border>
    <border>
      <left style="double">
        <color theme="1"/>
      </left>
      <right style="double">
        <color theme="1"/>
      </right>
      <top style="double">
        <color theme="1"/>
      </top>
      <bottom style="thin">
        <color theme="1"/>
      </bottom>
      <diagonal/>
    </border>
    <border>
      <left style="thin">
        <color theme="1"/>
      </left>
      <right style="double">
        <color theme="1"/>
      </right>
      <top style="thin">
        <color theme="1"/>
      </top>
      <bottom style="double">
        <color theme="1"/>
      </bottom>
      <diagonal/>
    </border>
    <border>
      <left style="thin">
        <color theme="1"/>
      </left>
      <right style="double">
        <color theme="1"/>
      </right>
      <top style="double">
        <color theme="1"/>
      </top>
      <bottom style="double">
        <color theme="1"/>
      </bottom>
      <diagonal/>
    </border>
    <border>
      <left style="thin">
        <color theme="1"/>
      </left>
      <right style="thin">
        <color theme="1"/>
      </right>
      <top style="thin">
        <color theme="1"/>
      </top>
      <bottom style="double">
        <color theme="1"/>
      </bottom>
      <diagonal/>
    </border>
    <border>
      <left style="thin">
        <color theme="1"/>
      </left>
      <right style="thin">
        <color theme="1"/>
      </right>
      <top style="double">
        <color theme="1"/>
      </top>
      <bottom style="double">
        <color theme="1"/>
      </bottom>
      <diagonal/>
    </border>
    <border>
      <left style="double">
        <color theme="1"/>
      </left>
      <right style="thin">
        <color theme="1"/>
      </right>
      <top style="thin">
        <color theme="1"/>
      </top>
      <bottom style="double">
        <color theme="1"/>
      </bottom>
      <diagonal/>
    </border>
    <border>
      <left style="double">
        <color theme="1"/>
      </left>
      <right style="thin">
        <color theme="1"/>
      </right>
      <top style="double">
        <color theme="1"/>
      </top>
      <bottom style="double">
        <color theme="1"/>
      </bottom>
      <diagonal/>
    </border>
    <border>
      <left/>
      <right style="double">
        <color theme="1"/>
      </right>
      <top style="double">
        <color theme="1"/>
      </top>
      <bottom style="double">
        <color theme="1"/>
      </bottom>
      <diagonal/>
    </border>
    <border>
      <left/>
      <right style="thin">
        <color theme="1"/>
      </right>
      <top style="thin">
        <color theme="1"/>
      </top>
      <bottom style="double">
        <color theme="1"/>
      </bottom>
      <diagonal/>
    </border>
    <border>
      <left/>
      <right style="thin">
        <color theme="1"/>
      </right>
      <top style="double">
        <color theme="1"/>
      </top>
      <bottom style="double">
        <color theme="1"/>
      </bottom>
      <diagonal/>
    </border>
    <border>
      <left style="double">
        <color theme="1"/>
      </left>
      <right style="double">
        <color theme="0" tint="-0.249977111117893"/>
      </right>
      <top/>
      <bottom style="double">
        <color theme="1"/>
      </bottom>
      <diagonal/>
    </border>
    <border>
      <left style="double">
        <color theme="1"/>
      </left>
      <right style="thin">
        <color theme="0" tint="-0.499984740745262"/>
      </right>
      <top/>
      <bottom style="double">
        <color theme="1"/>
      </bottom>
      <diagonal/>
    </border>
    <border>
      <left/>
      <right style="thin">
        <color theme="0" tint="-0.499984740745262"/>
      </right>
      <top/>
      <bottom style="double">
        <color theme="1"/>
      </bottom>
      <diagonal/>
    </border>
    <border>
      <left style="double">
        <color theme="1"/>
      </left>
      <right style="double">
        <color theme="1"/>
      </right>
      <top/>
      <bottom style="thin">
        <color theme="0" tint="-0.249977111117893"/>
      </bottom>
      <diagonal/>
    </border>
    <border>
      <left style="double">
        <color theme="1"/>
      </left>
      <right style="double">
        <color theme="0" tint="-0.249977111117893"/>
      </right>
      <top style="double">
        <color theme="1"/>
      </top>
      <bottom style="thin">
        <color theme="0" tint="-0.249977111117893"/>
      </bottom>
      <diagonal/>
    </border>
    <border>
      <left/>
      <right/>
      <top style="double">
        <color theme="1"/>
      </top>
      <bottom style="thin">
        <color theme="0" tint="-0.249977111117893"/>
      </bottom>
      <diagonal/>
    </border>
    <border>
      <left/>
      <right style="double">
        <color theme="1"/>
      </right>
      <top style="double">
        <color theme="1"/>
      </top>
      <bottom style="thin">
        <color theme="0" tint="-0.249977111117893"/>
      </bottom>
      <diagonal/>
    </border>
    <border>
      <left style="double">
        <color theme="1"/>
      </left>
      <right style="double">
        <color theme="1"/>
      </right>
      <top style="double">
        <color theme="1"/>
      </top>
      <bottom style="thin">
        <color theme="0" tint="-0.249977111117893"/>
      </bottom>
      <diagonal/>
    </border>
    <border>
      <left style="double">
        <color theme="1"/>
      </left>
      <right style="thin">
        <color theme="0" tint="-0.499984740745262"/>
      </right>
      <top style="double">
        <color theme="1"/>
      </top>
      <bottom style="thin">
        <color theme="0" tint="-0.249977111117893"/>
      </bottom>
      <diagonal/>
    </border>
    <border>
      <left/>
      <right style="thin">
        <color theme="0" tint="-0.499984740745262"/>
      </right>
      <top style="double">
        <color theme="1"/>
      </top>
      <bottom style="thin">
        <color theme="0" tint="-0.249977111117893"/>
      </bottom>
      <diagonal/>
    </border>
    <border>
      <left/>
      <right style="double">
        <color theme="1"/>
      </right>
      <top/>
      <bottom style="thin">
        <color theme="0" tint="-0.249977111117893"/>
      </bottom>
      <diagonal/>
    </border>
    <border>
      <left style="double">
        <color theme="1"/>
      </left>
      <right style="double">
        <color theme="0" tint="-0.249977111117893"/>
      </right>
      <top/>
      <bottom style="thin">
        <color theme="0" tint="-0.249977111117893"/>
      </bottom>
      <diagonal/>
    </border>
    <border>
      <left/>
      <right/>
      <top/>
      <bottom style="thin">
        <color theme="0" tint="-0.249977111117893"/>
      </bottom>
      <diagonal/>
    </border>
    <border>
      <left style="double">
        <color theme="1"/>
      </left>
      <right style="thin">
        <color theme="0" tint="-0.499984740745262"/>
      </right>
      <top/>
      <bottom style="thin">
        <color theme="0" tint="-0.249977111117893"/>
      </bottom>
      <diagonal/>
    </border>
    <border>
      <left/>
      <right style="thin">
        <color theme="0" tint="-0.499984740745262"/>
      </right>
      <top/>
      <bottom style="thin">
        <color theme="0" tint="-0.249977111117893"/>
      </bottom>
      <diagonal/>
    </border>
    <border>
      <left style="double">
        <color theme="1"/>
      </left>
      <right style="double">
        <color theme="1"/>
      </right>
      <top style="thin">
        <color theme="0" tint="-0.249977111117893"/>
      </top>
      <bottom style="thin">
        <color theme="0" tint="-0.249977111117893"/>
      </bottom>
      <diagonal/>
    </border>
    <border>
      <left style="double">
        <color theme="1"/>
      </left>
      <right style="double">
        <color theme="0" tint="-0.249977111117893"/>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double">
        <color theme="1"/>
      </right>
      <top style="thin">
        <color theme="0" tint="-0.249977111117893"/>
      </top>
      <bottom style="thin">
        <color theme="0" tint="-0.249977111117893"/>
      </bottom>
      <diagonal/>
    </border>
    <border>
      <left style="double">
        <color theme="1"/>
      </left>
      <right style="thin">
        <color theme="0" tint="-0.499984740745262"/>
      </right>
      <top style="thin">
        <color theme="0" tint="-0.249977111117893"/>
      </top>
      <bottom style="thin">
        <color theme="0" tint="-0.249977111117893"/>
      </bottom>
      <diagonal/>
    </border>
    <border>
      <left/>
      <right style="thin">
        <color theme="0" tint="-0.499984740745262"/>
      </right>
      <top style="thin">
        <color theme="0" tint="-0.249977111117893"/>
      </top>
      <bottom style="thin">
        <color theme="0" tint="-0.249977111117893"/>
      </bottom>
      <diagonal/>
    </border>
    <border>
      <left/>
      <right/>
      <top style="thin">
        <color indexed="64"/>
      </top>
      <bottom/>
      <diagonal/>
    </border>
    <border>
      <left/>
      <right/>
      <top/>
      <bottom style="thin">
        <color auto="1"/>
      </bottom>
      <diagonal/>
    </border>
    <border>
      <left/>
      <right/>
      <top style="thin">
        <color rgb="FF80808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rgb="FF000000"/>
      </left>
      <right style="thin">
        <color rgb="FF000000"/>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style="thin">
        <color rgb="FF000000"/>
      </bottom>
      <diagonal/>
    </border>
    <border>
      <left/>
      <right style="double">
        <color rgb="FF000000"/>
      </right>
      <top/>
      <bottom style="thin">
        <color rgb="FF000000"/>
      </bottom>
      <diagonal/>
    </border>
    <border>
      <left/>
      <right/>
      <top/>
      <bottom style="medium">
        <color indexed="64"/>
      </bottom>
      <diagonal/>
    </border>
    <border>
      <left/>
      <right style="thin">
        <color indexed="8"/>
      </right>
      <top style="thin">
        <color indexed="8"/>
      </top>
      <bottom/>
      <diagonal/>
    </border>
    <border>
      <left/>
      <right style="thin">
        <color indexed="8"/>
      </right>
      <top/>
      <bottom/>
      <diagonal/>
    </border>
    <border>
      <left/>
      <right style="thin">
        <color indexed="8"/>
      </right>
      <top/>
      <bottom style="double">
        <color indexed="8"/>
      </bottom>
      <diagonal/>
    </border>
    <border>
      <left/>
      <right style="thin">
        <color indexed="8"/>
      </right>
      <top/>
      <bottom style="thin">
        <color indexed="8"/>
      </bottom>
      <diagonal/>
    </border>
    <border>
      <left style="double">
        <color indexed="8"/>
      </left>
      <right/>
      <top style="medium">
        <color indexed="8"/>
      </top>
      <bottom style="medium">
        <color indexed="8"/>
      </bottom>
      <diagonal/>
    </border>
    <border>
      <left/>
      <right/>
      <top style="medium">
        <color indexed="8"/>
      </top>
      <bottom style="medium">
        <color indexed="8"/>
      </bottom>
      <diagonal/>
    </border>
    <border>
      <left/>
      <right style="double">
        <color indexed="8"/>
      </right>
      <top style="medium">
        <color indexed="8"/>
      </top>
      <bottom style="medium">
        <color indexed="8"/>
      </bottom>
      <diagonal/>
    </border>
    <border>
      <left/>
      <right style="thin">
        <color indexed="8"/>
      </right>
      <top style="medium">
        <color indexed="8"/>
      </top>
      <bottom style="medium">
        <color indexed="8"/>
      </bottom>
      <diagonal/>
    </border>
    <border>
      <left style="double">
        <color indexed="8"/>
      </left>
      <right/>
      <top style="double">
        <color indexed="8"/>
      </top>
      <bottom style="double">
        <color indexed="8"/>
      </bottom>
      <diagonal/>
    </border>
    <border>
      <left/>
      <right/>
      <top style="double">
        <color indexed="8"/>
      </top>
      <bottom style="double">
        <color indexed="8"/>
      </bottom>
      <diagonal/>
    </border>
    <border>
      <left/>
      <right style="double">
        <color indexed="8"/>
      </right>
      <top style="double">
        <color indexed="8"/>
      </top>
      <bottom style="double">
        <color indexed="8"/>
      </bottom>
      <diagonal/>
    </border>
    <border>
      <left/>
      <right style="thin">
        <color indexed="8"/>
      </right>
      <top style="double">
        <color indexed="8"/>
      </top>
      <bottom style="double">
        <color indexed="8"/>
      </bottom>
      <diagonal/>
    </border>
    <border>
      <left style="double">
        <color rgb="FF00FF00"/>
      </left>
      <right/>
      <top/>
      <bottom style="double">
        <color rgb="FF00FF00"/>
      </bottom>
      <diagonal/>
    </border>
    <border>
      <left/>
      <right/>
      <top/>
      <bottom style="double">
        <color rgb="FF00FF00"/>
      </bottom>
      <diagonal/>
    </border>
    <border>
      <left/>
      <right style="double">
        <color rgb="FF00FF00"/>
      </right>
      <top/>
      <bottom style="double">
        <color rgb="FF00FF00"/>
      </bottom>
      <diagonal/>
    </border>
    <border>
      <left/>
      <right style="double">
        <color rgb="FF00FF00"/>
      </right>
      <top/>
      <bottom/>
      <diagonal/>
    </border>
    <border>
      <left/>
      <right style="double">
        <color rgb="FF00FF00"/>
      </right>
      <top/>
      <bottom style="thin">
        <color rgb="FF00FF00"/>
      </bottom>
      <diagonal/>
    </border>
    <border>
      <left/>
      <right/>
      <top/>
      <bottom style="thin">
        <color rgb="FF00FF00"/>
      </bottom>
      <diagonal/>
    </border>
    <border>
      <left style="double">
        <color rgb="FF00FF00"/>
      </left>
      <right/>
      <top style="double">
        <color rgb="FF00FF00"/>
      </top>
      <bottom style="double">
        <color rgb="FF00FF00"/>
      </bottom>
      <diagonal/>
    </border>
    <border>
      <left/>
      <right/>
      <top style="double">
        <color rgb="FF00FF00"/>
      </top>
      <bottom style="double">
        <color rgb="FF00FF00"/>
      </bottom>
      <diagonal/>
    </border>
    <border>
      <left/>
      <right style="double">
        <color rgb="FF00FF00"/>
      </right>
      <top style="double">
        <color rgb="FF00FF00"/>
      </top>
      <bottom style="double">
        <color rgb="FF00FF00"/>
      </bottom>
      <diagonal/>
    </border>
    <border>
      <left/>
      <right style="double">
        <color rgb="FF00FF00"/>
      </right>
      <top style="thin">
        <color rgb="FF00FF00"/>
      </top>
      <bottom style="thin">
        <color rgb="FF00FF00"/>
      </bottom>
      <diagonal/>
    </border>
    <border>
      <left/>
      <right/>
      <top style="thin">
        <color rgb="FF00FF00"/>
      </top>
      <bottom style="thin">
        <color rgb="FF00FF00"/>
      </bottom>
      <diagonal/>
    </border>
    <border>
      <left style="thin">
        <color rgb="FFC0C0C0"/>
      </left>
      <right style="double">
        <color rgb="FF00FF00"/>
      </right>
      <top style="thin">
        <color rgb="FFC0C0C0"/>
      </top>
      <bottom style="thin">
        <color rgb="FFC0C0C0"/>
      </bottom>
      <diagonal/>
    </border>
    <border>
      <left style="thin">
        <color rgb="FFC0C0C0"/>
      </left>
      <right style="double">
        <color rgb="FF00FF00"/>
      </right>
      <top/>
      <bottom style="thin">
        <color rgb="FFC0C0C0"/>
      </bottom>
      <diagonal/>
    </border>
    <border>
      <left style="double">
        <color rgb="FF00FF00"/>
      </left>
      <right style="double">
        <color rgb="FF00FF00"/>
      </right>
      <top/>
      <bottom/>
      <diagonal/>
    </border>
    <border>
      <left style="double">
        <color rgb="FF00FF00"/>
      </left>
      <right/>
      <top/>
      <bottom/>
      <diagonal/>
    </border>
    <border>
      <left/>
      <right style="thin">
        <color rgb="FF00FF00"/>
      </right>
      <top/>
      <bottom/>
      <diagonal/>
    </border>
    <border>
      <left style="double">
        <color rgb="FF00FF00"/>
      </left>
      <right/>
      <top style="thin">
        <color rgb="FF00FF00"/>
      </top>
      <bottom style="double">
        <color rgb="FF00FF00"/>
      </bottom>
      <diagonal/>
    </border>
    <border>
      <left/>
      <right/>
      <top style="thin">
        <color rgb="FF00FF00"/>
      </top>
      <bottom style="double">
        <color rgb="FF00FF00"/>
      </bottom>
      <diagonal/>
    </border>
    <border>
      <left/>
      <right style="double">
        <color rgb="FF00FF00"/>
      </right>
      <top style="thin">
        <color rgb="FF00FF00"/>
      </top>
      <bottom style="double">
        <color rgb="FF00FF00"/>
      </bottom>
      <diagonal/>
    </border>
    <border>
      <left style="double">
        <color rgb="FF00FF00"/>
      </left>
      <right style="double">
        <color rgb="FF00FF00"/>
      </right>
      <top style="thin">
        <color rgb="FF00FF00"/>
      </top>
      <bottom style="double">
        <color rgb="FF00FF00"/>
      </bottom>
      <diagonal/>
    </border>
    <border>
      <left style="double">
        <color rgb="FF00FF00"/>
      </left>
      <right/>
      <top style="double">
        <color rgb="FF00FF00"/>
      </top>
      <bottom/>
      <diagonal/>
    </border>
    <border>
      <left/>
      <right/>
      <top style="thin">
        <color rgb="FF00FF00"/>
      </top>
      <bottom/>
      <diagonal/>
    </border>
    <border>
      <left/>
      <right style="double">
        <color rgb="FF00FF00"/>
      </right>
      <top style="thin">
        <color rgb="FF00FF00"/>
      </top>
      <bottom/>
      <diagonal/>
    </border>
    <border>
      <left/>
      <right/>
      <top style="double">
        <color rgb="FF00FF00"/>
      </top>
      <bottom/>
      <diagonal/>
    </border>
    <border>
      <left style="double">
        <color rgb="FF00FF00"/>
      </left>
      <right style="double">
        <color rgb="FF00FF00"/>
      </right>
      <top/>
      <bottom style="thin">
        <color rgb="FF00FF00"/>
      </bottom>
      <diagonal/>
    </border>
    <border>
      <left style="double">
        <color rgb="FF00FF00"/>
      </left>
      <right style="double">
        <color rgb="FF00FF00"/>
      </right>
      <top style="double">
        <color rgb="FF00FF00"/>
      </top>
      <bottom style="double">
        <color rgb="FF00FF00"/>
      </bottom>
      <diagonal/>
    </border>
    <border>
      <left/>
      <right/>
      <top style="thin">
        <color auto="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s>
  <cellStyleXfs count="9">
    <xf numFmtId="0" fontId="0" fillId="0" borderId="0"/>
    <xf numFmtId="9"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0" fontId="34" fillId="0" borderId="0"/>
    <xf numFmtId="0" fontId="2" fillId="0" borderId="0"/>
    <xf numFmtId="0" fontId="49" fillId="0" borderId="0"/>
    <xf numFmtId="0" fontId="1" fillId="0" borderId="0"/>
    <xf numFmtId="0" fontId="1" fillId="0" borderId="0"/>
  </cellStyleXfs>
  <cellXfs count="944">
    <xf numFmtId="0" fontId="0" fillId="0" borderId="0" xfId="0"/>
    <xf numFmtId="5" fontId="9" fillId="0" borderId="0" xfId="0" applyNumberFormat="1" applyFont="1" applyAlignment="1">
      <alignment vertical="center"/>
    </xf>
    <xf numFmtId="0" fontId="9" fillId="0" borderId="17" xfId="0" applyFont="1" applyBorder="1" applyAlignment="1">
      <alignment horizontal="center" vertical="center"/>
    </xf>
    <xf numFmtId="6" fontId="9" fillId="3" borderId="18" xfId="0" applyNumberFormat="1" applyFont="1" applyFill="1" applyBorder="1" applyAlignment="1">
      <alignment vertical="center"/>
    </xf>
    <xf numFmtId="6" fontId="9" fillId="3" borderId="19" xfId="0" applyNumberFormat="1" applyFont="1" applyFill="1" applyBorder="1" applyAlignment="1">
      <alignment vertical="center"/>
    </xf>
    <xf numFmtId="0" fontId="9" fillId="2" borderId="17" xfId="0" quotePrefix="1" applyFont="1" applyFill="1" applyBorder="1" applyAlignment="1">
      <alignment horizontal="center" vertical="center"/>
    </xf>
    <xf numFmtId="6" fontId="9" fillId="2" borderId="17" xfId="0" applyNumberFormat="1" applyFont="1" applyFill="1" applyBorder="1" applyAlignment="1">
      <alignment vertical="center"/>
    </xf>
    <xf numFmtId="0" fontId="9" fillId="0" borderId="17" xfId="0" quotePrefix="1" applyFont="1" applyBorder="1" applyAlignment="1">
      <alignment horizontal="center" vertical="center"/>
    </xf>
    <xf numFmtId="6" fontId="9" fillId="4" borderId="24" xfId="0" applyNumberFormat="1" applyFont="1" applyFill="1" applyBorder="1" applyAlignment="1">
      <alignment vertical="center"/>
    </xf>
    <xf numFmtId="6" fontId="9" fillId="4" borderId="25" xfId="0" applyNumberFormat="1" applyFont="1" applyFill="1" applyBorder="1" applyAlignment="1">
      <alignment vertical="center"/>
    </xf>
    <xf numFmtId="0" fontId="9" fillId="3" borderId="29" xfId="0" applyFont="1" applyFill="1" applyBorder="1" applyAlignment="1">
      <alignment vertical="center"/>
    </xf>
    <xf numFmtId="0" fontId="9" fillId="3" borderId="34" xfId="0" applyFont="1" applyFill="1" applyBorder="1" applyAlignment="1">
      <alignment vertical="center"/>
    </xf>
    <xf numFmtId="37" fontId="9" fillId="3" borderId="26" xfId="0" applyNumberFormat="1" applyFont="1" applyFill="1" applyBorder="1" applyAlignment="1">
      <alignment vertical="center"/>
    </xf>
    <xf numFmtId="37" fontId="9" fillId="3" borderId="34" xfId="0" applyNumberFormat="1" applyFont="1" applyFill="1" applyBorder="1" applyAlignment="1">
      <alignment vertical="center"/>
    </xf>
    <xf numFmtId="6" fontId="9" fillId="3" borderId="32" xfId="0" applyNumberFormat="1" applyFont="1" applyFill="1" applyBorder="1" applyAlignment="1">
      <alignment vertical="center"/>
    </xf>
    <xf numFmtId="0" fontId="9" fillId="0" borderId="29" xfId="0" applyFont="1" applyBorder="1" applyAlignment="1">
      <alignment horizontal="center" vertical="center"/>
    </xf>
    <xf numFmtId="6" fontId="10" fillId="2" borderId="50" xfId="0" applyNumberFormat="1" applyFont="1" applyFill="1" applyBorder="1" applyAlignment="1">
      <alignment vertical="center"/>
    </xf>
    <xf numFmtId="0" fontId="9" fillId="3" borderId="18" xfId="0" applyFont="1" applyFill="1" applyBorder="1" applyAlignment="1">
      <alignment vertical="center"/>
    </xf>
    <xf numFmtId="0" fontId="9" fillId="3" borderId="18" xfId="0" quotePrefix="1" applyFont="1" applyFill="1" applyBorder="1" applyAlignment="1">
      <alignment horizontal="center" vertical="center"/>
    </xf>
    <xf numFmtId="37" fontId="9" fillId="3" borderId="44" xfId="0" applyNumberFormat="1" applyFont="1" applyFill="1" applyBorder="1" applyAlignment="1">
      <alignment vertical="center"/>
    </xf>
    <xf numFmtId="0" fontId="9" fillId="3" borderId="46" xfId="0" applyFont="1" applyFill="1" applyBorder="1" applyAlignment="1">
      <alignment vertical="center"/>
    </xf>
    <xf numFmtId="37" fontId="9" fillId="3" borderId="46" xfId="0" applyNumberFormat="1" applyFont="1" applyFill="1" applyBorder="1" applyAlignment="1">
      <alignment vertical="center"/>
    </xf>
    <xf numFmtId="0" fontId="9" fillId="3" borderId="17" xfId="0" applyFont="1" applyFill="1" applyBorder="1" applyAlignment="1">
      <alignment horizontal="center" vertical="center"/>
    </xf>
    <xf numFmtId="6" fontId="9" fillId="3" borderId="17" xfId="0" applyNumberFormat="1" applyFont="1" applyFill="1" applyBorder="1" applyAlignment="1">
      <alignment vertical="center"/>
    </xf>
    <xf numFmtId="5" fontId="9" fillId="3" borderId="20" xfId="0" applyNumberFormat="1" applyFont="1" applyFill="1" applyBorder="1" applyAlignment="1">
      <alignment vertical="center"/>
    </xf>
    <xf numFmtId="5" fontId="9" fillId="3" borderId="21" xfId="0" applyNumberFormat="1" applyFont="1" applyFill="1" applyBorder="1" applyAlignment="1">
      <alignment vertical="center"/>
    </xf>
    <xf numFmtId="6" fontId="9" fillId="3" borderId="21" xfId="0" applyNumberFormat="1" applyFont="1" applyFill="1" applyBorder="1" applyAlignment="1">
      <alignment vertical="center"/>
    </xf>
    <xf numFmtId="0" fontId="9" fillId="3" borderId="29" xfId="0" applyFont="1" applyFill="1" applyBorder="1" applyAlignment="1">
      <alignment horizontal="center" vertical="center"/>
    </xf>
    <xf numFmtId="6" fontId="9" fillId="3" borderId="30" xfId="0" applyNumberFormat="1" applyFont="1" applyFill="1" applyBorder="1" applyAlignment="1">
      <alignment vertical="center"/>
    </xf>
    <xf numFmtId="5" fontId="9" fillId="3" borderId="31" xfId="0" applyNumberFormat="1" applyFont="1" applyFill="1" applyBorder="1" applyAlignment="1">
      <alignment vertical="center"/>
    </xf>
    <xf numFmtId="5" fontId="9" fillId="3" borderId="30" xfId="0" applyNumberFormat="1" applyFont="1" applyFill="1" applyBorder="1" applyAlignment="1">
      <alignment vertical="center"/>
    </xf>
    <xf numFmtId="6" fontId="9" fillId="3" borderId="29" xfId="0" applyNumberFormat="1" applyFont="1" applyFill="1" applyBorder="1" applyAlignment="1">
      <alignment vertical="center"/>
    </xf>
    <xf numFmtId="0" fontId="9" fillId="2" borderId="48" xfId="0" quotePrefix="1" applyFont="1" applyFill="1" applyBorder="1" applyAlignment="1">
      <alignment horizontal="center" vertical="center"/>
    </xf>
    <xf numFmtId="6" fontId="9" fillId="4" borderId="49" xfId="0" applyNumberFormat="1" applyFont="1" applyFill="1" applyBorder="1" applyAlignment="1">
      <alignment vertical="center"/>
    </xf>
    <xf numFmtId="6" fontId="9" fillId="4" borderId="50" xfId="0" applyNumberFormat="1" applyFont="1" applyFill="1" applyBorder="1" applyAlignment="1">
      <alignment vertical="center"/>
    </xf>
    <xf numFmtId="6" fontId="10" fillId="6" borderId="85" xfId="0" applyNumberFormat="1" applyFont="1" applyFill="1" applyBorder="1" applyAlignment="1">
      <alignment vertical="center"/>
    </xf>
    <xf numFmtId="6" fontId="10" fillId="6" borderId="87" xfId="0" applyNumberFormat="1" applyFont="1" applyFill="1" applyBorder="1" applyAlignment="1">
      <alignment vertical="center"/>
    </xf>
    <xf numFmtId="0" fontId="10" fillId="2" borderId="109" xfId="0" applyFont="1" applyFill="1" applyBorder="1" applyAlignment="1">
      <alignment horizontal="center" vertical="center"/>
    </xf>
    <xf numFmtId="6" fontId="10" fillId="6" borderId="0" xfId="0" applyNumberFormat="1" applyFont="1" applyFill="1" applyAlignment="1">
      <alignment vertical="center"/>
    </xf>
    <xf numFmtId="0" fontId="9" fillId="0" borderId="5" xfId="0" applyFont="1" applyBorder="1" applyAlignment="1">
      <alignment vertical="center"/>
    </xf>
    <xf numFmtId="0" fontId="9" fillId="0" borderId="6" xfId="0" applyFont="1" applyBorder="1" applyAlignment="1">
      <alignment vertical="center"/>
    </xf>
    <xf numFmtId="0" fontId="9" fillId="3" borderId="18" xfId="0" applyFont="1" applyFill="1" applyBorder="1" applyAlignment="1">
      <alignment horizontal="left" vertical="center"/>
    </xf>
    <xf numFmtId="0" fontId="9" fillId="3" borderId="29" xfId="0" applyFont="1" applyFill="1" applyBorder="1" applyAlignment="1">
      <alignment horizontal="left" vertical="center"/>
    </xf>
    <xf numFmtId="0" fontId="9" fillId="6" borderId="17" xfId="0" applyFont="1" applyFill="1" applyBorder="1" applyAlignment="1">
      <alignment horizontal="center" vertical="center"/>
    </xf>
    <xf numFmtId="0" fontId="9" fillId="2" borderId="17" xfId="0" applyFont="1" applyFill="1" applyBorder="1" applyAlignment="1">
      <alignment horizontal="left" vertical="center"/>
    </xf>
    <xf numFmtId="0" fontId="9" fillId="3" borderId="70" xfId="0" applyFont="1" applyFill="1" applyBorder="1" applyAlignment="1">
      <alignment horizontal="left" vertical="center"/>
    </xf>
    <xf numFmtId="0" fontId="10" fillId="2" borderId="48" xfId="0" applyFont="1" applyFill="1" applyBorder="1" applyAlignment="1">
      <alignment horizontal="left" vertical="center"/>
    </xf>
    <xf numFmtId="0" fontId="5" fillId="0" borderId="0" xfId="0" quotePrefix="1" applyFont="1" applyAlignment="1">
      <alignment horizontal="center"/>
    </xf>
    <xf numFmtId="0" fontId="5" fillId="0" borderId="0" xfId="0" quotePrefix="1" applyFont="1" applyAlignment="1">
      <alignment horizontal="left"/>
    </xf>
    <xf numFmtId="0" fontId="6" fillId="0" borderId="0" xfId="0" applyFont="1" applyAlignment="1">
      <alignment horizontal="center" vertical="center"/>
    </xf>
    <xf numFmtId="0" fontId="5" fillId="0" borderId="0" xfId="0" applyFont="1" applyAlignment="1">
      <alignment horizontal="center"/>
    </xf>
    <xf numFmtId="0" fontId="9" fillId="3" borderId="6" xfId="0" applyFont="1" applyFill="1" applyBorder="1" applyAlignment="1">
      <alignment vertical="center"/>
    </xf>
    <xf numFmtId="0" fontId="9" fillId="3" borderId="41" xfId="0" applyFont="1" applyFill="1" applyBorder="1" applyAlignment="1">
      <alignment vertical="center"/>
    </xf>
    <xf numFmtId="0" fontId="10" fillId="0" borderId="6" xfId="0" applyFont="1" applyBorder="1" applyAlignment="1">
      <alignment vertical="center"/>
    </xf>
    <xf numFmtId="0" fontId="9" fillId="0" borderId="28" xfId="0" quotePrefix="1" applyFont="1" applyBorder="1" applyAlignment="1">
      <alignment horizontal="left" vertical="center"/>
    </xf>
    <xf numFmtId="0" fontId="9" fillId="0" borderId="28" xfId="0" applyFont="1" applyBorder="1" applyAlignment="1">
      <alignment vertical="center"/>
    </xf>
    <xf numFmtId="0" fontId="9" fillId="0" borderId="6" xfId="0" quotePrefix="1" applyFont="1" applyBorder="1" applyAlignment="1">
      <alignment horizontal="left" vertical="center"/>
    </xf>
    <xf numFmtId="5" fontId="9" fillId="0" borderId="62" xfId="0" applyNumberFormat="1" applyFont="1" applyBorder="1" applyAlignment="1">
      <alignment vertical="center"/>
    </xf>
    <xf numFmtId="0" fontId="9" fillId="2" borderId="6" xfId="0" applyFont="1" applyFill="1" applyBorder="1" applyAlignment="1">
      <alignment vertical="center"/>
    </xf>
    <xf numFmtId="0" fontId="9" fillId="2" borderId="6" xfId="0" applyFont="1" applyFill="1" applyBorder="1" applyAlignment="1">
      <alignment horizontal="left" vertical="center"/>
    </xf>
    <xf numFmtId="0" fontId="15" fillId="3" borderId="6" xfId="0" applyFont="1" applyFill="1" applyBorder="1" applyAlignment="1">
      <alignment vertical="center"/>
    </xf>
    <xf numFmtId="0" fontId="15" fillId="0" borderId="28" xfId="0" applyFont="1" applyBorder="1" applyAlignment="1">
      <alignment horizontal="left" vertical="center"/>
    </xf>
    <xf numFmtId="0" fontId="15" fillId="0" borderId="6" xfId="0" applyFont="1" applyBorder="1" applyAlignment="1">
      <alignment horizontal="left" vertical="center"/>
    </xf>
    <xf numFmtId="0" fontId="9" fillId="0" borderId="6" xfId="0" applyFont="1" applyBorder="1" applyAlignment="1">
      <alignment horizontal="left" vertical="center"/>
    </xf>
    <xf numFmtId="0" fontId="9" fillId="2" borderId="47" xfId="0" applyFont="1" applyFill="1" applyBorder="1" applyAlignment="1">
      <alignment vertical="center"/>
    </xf>
    <xf numFmtId="0" fontId="9" fillId="2" borderId="47" xfId="0" quotePrefix="1" applyFont="1" applyFill="1" applyBorder="1" applyAlignment="1">
      <alignment horizontal="left" vertical="center"/>
    </xf>
    <xf numFmtId="0" fontId="9" fillId="3" borderId="28" xfId="0" applyFont="1" applyFill="1" applyBorder="1" applyAlignment="1">
      <alignment vertical="center"/>
    </xf>
    <xf numFmtId="0" fontId="9" fillId="2" borderId="6" xfId="0" quotePrefix="1" applyFont="1" applyFill="1" applyBorder="1" applyAlignment="1">
      <alignment horizontal="left" vertical="center"/>
    </xf>
    <xf numFmtId="0" fontId="9" fillId="0" borderId="28" xfId="0" applyFont="1" applyBorder="1" applyAlignment="1">
      <alignment horizontal="left" vertical="center"/>
    </xf>
    <xf numFmtId="0" fontId="10" fillId="0" borderId="0" xfId="0" applyFont="1" applyAlignment="1">
      <alignment vertical="center"/>
    </xf>
    <xf numFmtId="0" fontId="11" fillId="0" borderId="0" xfId="0" applyFont="1" applyAlignment="1">
      <alignment horizontal="center" vertical="center"/>
    </xf>
    <xf numFmtId="0" fontId="14" fillId="0" borderId="0" xfId="0" applyFont="1" applyAlignment="1">
      <alignment horizontal="center" vertical="center"/>
    </xf>
    <xf numFmtId="0" fontId="9" fillId="0" borderId="0" xfId="0" applyFont="1" applyAlignment="1">
      <alignment vertical="center"/>
    </xf>
    <xf numFmtId="6" fontId="9" fillId="0" borderId="0" xfId="0" applyNumberFormat="1" applyFont="1" applyAlignment="1">
      <alignment vertical="center"/>
    </xf>
    <xf numFmtId="0" fontId="9" fillId="0" borderId="0" xfId="0" applyFont="1" applyAlignment="1">
      <alignment horizontal="left" vertical="center"/>
    </xf>
    <xf numFmtId="0" fontId="7" fillId="0" borderId="0" xfId="0" applyFont="1" applyAlignment="1">
      <alignment horizontal="right" vertical="center"/>
    </xf>
    <xf numFmtId="6" fontId="10" fillId="5" borderId="80" xfId="0" applyNumberFormat="1" applyFont="1" applyFill="1" applyBorder="1" applyAlignment="1">
      <alignment vertical="center"/>
    </xf>
    <xf numFmtId="0" fontId="10" fillId="7" borderId="106" xfId="0" applyFont="1" applyFill="1" applyBorder="1" applyAlignment="1">
      <alignment horizontal="center" vertical="center"/>
    </xf>
    <xf numFmtId="6" fontId="10" fillId="3" borderId="12" xfId="0" applyNumberFormat="1" applyFont="1" applyFill="1" applyBorder="1" applyAlignment="1">
      <alignment vertical="center"/>
    </xf>
    <xf numFmtId="9" fontId="10" fillId="7" borderId="107" xfId="0" applyNumberFormat="1" applyFont="1" applyFill="1" applyBorder="1" applyAlignment="1">
      <alignment horizontal="center" vertical="center"/>
    </xf>
    <xf numFmtId="6" fontId="10" fillId="5" borderId="83" xfId="0" applyNumberFormat="1" applyFont="1" applyFill="1" applyBorder="1" applyAlignment="1">
      <alignment vertical="center"/>
    </xf>
    <xf numFmtId="0" fontId="10" fillId="0" borderId="0" xfId="0" applyFont="1" applyAlignment="1">
      <alignment horizontal="center" vertical="center"/>
    </xf>
    <xf numFmtId="6" fontId="10" fillId="0" borderId="0" xfId="0" applyNumberFormat="1" applyFont="1" applyAlignment="1">
      <alignment vertical="center"/>
    </xf>
    <xf numFmtId="0" fontId="4" fillId="0" borderId="0" xfId="0" applyFont="1" applyAlignment="1">
      <alignment vertical="center"/>
    </xf>
    <xf numFmtId="0" fontId="8" fillId="0" borderId="0" xfId="0" applyFont="1" applyAlignment="1">
      <alignment horizontal="center" vertical="center"/>
    </xf>
    <xf numFmtId="0" fontId="4" fillId="0" borderId="0" xfId="0" applyFont="1" applyAlignment="1">
      <alignment horizontal="centerContinuous" vertical="center"/>
    </xf>
    <xf numFmtId="0" fontId="5" fillId="0" borderId="0" xfId="0" quotePrefix="1" applyFont="1" applyAlignment="1">
      <alignment horizontal="right"/>
    </xf>
    <xf numFmtId="0" fontId="5" fillId="0" borderId="0" xfId="0" applyFont="1" applyAlignment="1">
      <alignment horizontal="right"/>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9" fillId="3" borderId="18" xfId="0" applyFont="1" applyFill="1" applyBorder="1" applyAlignment="1">
      <alignment horizontal="center" vertical="center"/>
    </xf>
    <xf numFmtId="0" fontId="9" fillId="0" borderId="27" xfId="0" applyFont="1" applyBorder="1" applyAlignment="1">
      <alignment vertical="center"/>
    </xf>
    <xf numFmtId="0" fontId="9" fillId="2" borderId="5" xfId="0" applyFont="1" applyFill="1" applyBorder="1" applyAlignment="1">
      <alignment vertical="center"/>
    </xf>
    <xf numFmtId="0" fontId="9" fillId="0" borderId="35" xfId="0" applyFont="1" applyBorder="1" applyAlignment="1">
      <alignment vertical="center"/>
    </xf>
    <xf numFmtId="0" fontId="9" fillId="0" borderId="36" xfId="0" applyFont="1" applyBorder="1" applyAlignment="1">
      <alignment vertical="center"/>
    </xf>
    <xf numFmtId="0" fontId="9" fillId="0" borderId="37" xfId="0" applyFont="1" applyBorder="1" applyAlignment="1">
      <alignment horizontal="left" vertical="center"/>
    </xf>
    <xf numFmtId="0" fontId="9" fillId="6" borderId="27" xfId="0" applyFont="1" applyFill="1" applyBorder="1" applyAlignment="1">
      <alignment vertical="center"/>
    </xf>
    <xf numFmtId="0" fontId="9" fillId="6" borderId="28" xfId="0" applyFont="1" applyFill="1" applyBorder="1" applyAlignment="1">
      <alignment vertical="center"/>
    </xf>
    <xf numFmtId="0" fontId="13" fillId="0" borderId="6" xfId="0" applyFont="1" applyBorder="1" applyAlignment="1">
      <alignment vertical="center"/>
    </xf>
    <xf numFmtId="0" fontId="9" fillId="6" borderId="5" xfId="0" applyFont="1" applyFill="1" applyBorder="1" applyAlignment="1">
      <alignment vertical="center"/>
    </xf>
    <xf numFmtId="0" fontId="9" fillId="6" borderId="6" xfId="0" applyFont="1" applyFill="1" applyBorder="1" applyAlignment="1">
      <alignment vertical="center"/>
    </xf>
    <xf numFmtId="0" fontId="9" fillId="0" borderId="24" xfId="0" applyFont="1" applyBorder="1" applyAlignment="1">
      <alignment horizontal="center" vertical="center"/>
    </xf>
    <xf numFmtId="0" fontId="9" fillId="8" borderId="6" xfId="0" applyFont="1" applyFill="1" applyBorder="1" applyAlignment="1">
      <alignment vertical="center"/>
    </xf>
    <xf numFmtId="6" fontId="10" fillId="5" borderId="79" xfId="0" applyNumberFormat="1" applyFont="1" applyFill="1" applyBorder="1" applyAlignment="1">
      <alignment vertical="center"/>
    </xf>
    <xf numFmtId="6" fontId="10" fillId="5" borderId="81" xfId="0" applyNumberFormat="1" applyFont="1" applyFill="1" applyBorder="1" applyAlignment="1">
      <alignment vertical="center"/>
    </xf>
    <xf numFmtId="6" fontId="10" fillId="3" borderId="10" xfId="0" applyNumberFormat="1" applyFont="1" applyFill="1" applyBorder="1" applyAlignment="1">
      <alignment vertical="center"/>
    </xf>
    <xf numFmtId="6" fontId="10" fillId="3" borderId="11" xfId="0" applyNumberFormat="1" applyFont="1" applyFill="1" applyBorder="1" applyAlignment="1">
      <alignment vertical="center"/>
    </xf>
    <xf numFmtId="6" fontId="10" fillId="3" borderId="13" xfId="0" applyNumberFormat="1" applyFont="1" applyFill="1" applyBorder="1" applyAlignment="1">
      <alignment vertical="center"/>
    </xf>
    <xf numFmtId="6" fontId="10" fillId="5" borderId="82" xfId="0" applyNumberFormat="1" applyFont="1" applyFill="1" applyBorder="1" applyAlignment="1">
      <alignment vertical="center"/>
    </xf>
    <xf numFmtId="6" fontId="10" fillId="5" borderId="84" xfId="0" applyNumberFormat="1" applyFont="1" applyFill="1" applyBorder="1" applyAlignment="1">
      <alignment vertical="center"/>
    </xf>
    <xf numFmtId="6" fontId="10" fillId="3" borderId="14" xfId="0" applyNumberFormat="1" applyFont="1" applyFill="1" applyBorder="1" applyAlignment="1">
      <alignment vertical="center"/>
    </xf>
    <xf numFmtId="6" fontId="10" fillId="3" borderId="15" xfId="0" applyNumberFormat="1" applyFont="1" applyFill="1" applyBorder="1" applyAlignment="1">
      <alignment vertical="center"/>
    </xf>
    <xf numFmtId="6" fontId="10" fillId="0" borderId="0" xfId="0" quotePrefix="1" applyNumberFormat="1" applyFont="1" applyAlignment="1">
      <alignment horizontal="right" vertical="center"/>
    </xf>
    <xf numFmtId="0" fontId="0" fillId="0" borderId="0" xfId="0" applyAlignment="1">
      <alignment vertical="center" wrapText="1"/>
    </xf>
    <xf numFmtId="0" fontId="16" fillId="0" borderId="0" xfId="0" applyFont="1"/>
    <xf numFmtId="0" fontId="18" fillId="0" borderId="0" xfId="0" applyFont="1" applyAlignment="1">
      <alignment vertical="center"/>
    </xf>
    <xf numFmtId="0" fontId="18" fillId="0" borderId="0" xfId="0" applyFont="1" applyAlignment="1">
      <alignment vertical="center" wrapText="1"/>
    </xf>
    <xf numFmtId="0" fontId="18" fillId="9" borderId="0" xfId="0" applyFont="1" applyFill="1" applyAlignment="1">
      <alignment vertical="center"/>
    </xf>
    <xf numFmtId="0" fontId="18" fillId="13" borderId="0" xfId="0" applyFont="1" applyFill="1" applyAlignment="1">
      <alignment horizontal="left" vertical="center" wrapText="1"/>
    </xf>
    <xf numFmtId="0" fontId="22" fillId="0" borderId="0" xfId="0" applyFont="1" applyAlignment="1">
      <alignment horizontal="center" vertical="center" wrapText="1"/>
    </xf>
    <xf numFmtId="0" fontId="0" fillId="0" borderId="0" xfId="0" applyAlignment="1">
      <alignment horizontal="left" wrapText="1"/>
    </xf>
    <xf numFmtId="0" fontId="18" fillId="14" borderId="0" xfId="0" applyFont="1" applyFill="1" applyAlignment="1">
      <alignment vertical="center"/>
    </xf>
    <xf numFmtId="0" fontId="18" fillId="0" borderId="0" xfId="0" applyFont="1" applyAlignment="1">
      <alignment horizontal="left" vertical="center"/>
    </xf>
    <xf numFmtId="0" fontId="18" fillId="13" borderId="0" xfId="0" applyFont="1" applyFill="1" applyAlignment="1">
      <alignment vertical="center"/>
    </xf>
    <xf numFmtId="0" fontId="18" fillId="15" borderId="0" xfId="0" applyFont="1" applyFill="1" applyAlignment="1">
      <alignment vertical="center" wrapText="1"/>
    </xf>
    <xf numFmtId="0" fontId="18" fillId="12" borderId="0" xfId="0" applyFont="1" applyFill="1" applyAlignment="1">
      <alignment vertical="center" wrapText="1"/>
    </xf>
    <xf numFmtId="0" fontId="0" fillId="0" borderId="0" xfId="0" applyAlignment="1">
      <alignment horizontal="left"/>
    </xf>
    <xf numFmtId="0" fontId="4" fillId="0" borderId="0" xfId="0" applyFont="1"/>
    <xf numFmtId="164" fontId="9" fillId="2" borderId="17" xfId="1" applyNumberFormat="1" applyFont="1" applyFill="1" applyBorder="1" applyAlignment="1" applyProtection="1">
      <alignment horizontal="center" vertical="center"/>
    </xf>
    <xf numFmtId="0" fontId="10" fillId="2" borderId="47" xfId="0" applyFont="1" applyFill="1" applyBorder="1" applyAlignment="1">
      <alignment vertical="center"/>
    </xf>
    <xf numFmtId="0" fontId="10" fillId="2" borderId="47" xfId="0" applyFont="1" applyFill="1" applyBorder="1" applyAlignment="1">
      <alignment horizontal="left" vertical="center"/>
    </xf>
    <xf numFmtId="0" fontId="9" fillId="0" borderId="0" xfId="0" applyFont="1" applyAlignment="1">
      <alignment horizontal="center" vertical="center"/>
    </xf>
    <xf numFmtId="0" fontId="0" fillId="0" borderId="0" xfId="0" applyAlignment="1">
      <alignment vertical="center"/>
    </xf>
    <xf numFmtId="0" fontId="5" fillId="0" borderId="0" xfId="0" applyFont="1" applyAlignment="1">
      <alignment horizontal="center" vertical="center"/>
    </xf>
    <xf numFmtId="0" fontId="5" fillId="0" borderId="0" xfId="0" quotePrefix="1" applyFont="1" applyAlignment="1">
      <alignment horizontal="center" vertical="center"/>
    </xf>
    <xf numFmtId="0" fontId="5" fillId="9" borderId="0" xfId="0" quotePrefix="1" applyFont="1" applyFill="1" applyAlignment="1">
      <alignment horizontal="center" vertical="center"/>
    </xf>
    <xf numFmtId="0" fontId="17" fillId="9" borderId="110" xfId="0" quotePrefix="1" applyFont="1" applyFill="1" applyBorder="1" applyAlignment="1">
      <alignment horizontal="center" vertical="center"/>
    </xf>
    <xf numFmtId="14" fontId="17" fillId="9" borderId="110" xfId="0" quotePrefix="1" applyNumberFormat="1" applyFont="1" applyFill="1" applyBorder="1" applyAlignment="1">
      <alignment horizontal="center" vertical="center"/>
    </xf>
    <xf numFmtId="0" fontId="9" fillId="0" borderId="57" xfId="0" applyFont="1" applyBorder="1" applyAlignment="1">
      <alignment vertical="center"/>
    </xf>
    <xf numFmtId="37" fontId="9" fillId="0" borderId="62" xfId="0" applyNumberFormat="1" applyFont="1" applyBorder="1" applyAlignment="1">
      <alignment vertical="center"/>
    </xf>
    <xf numFmtId="0" fontId="9" fillId="0" borderId="63" xfId="0" applyFont="1" applyBorder="1" applyAlignment="1">
      <alignment vertical="center"/>
    </xf>
    <xf numFmtId="8" fontId="9" fillId="3" borderId="44" xfId="0" applyNumberFormat="1" applyFont="1" applyFill="1" applyBorder="1" applyAlignment="1">
      <alignment vertical="center"/>
    </xf>
    <xf numFmtId="6" fontId="9" fillId="3" borderId="45" xfId="0" applyNumberFormat="1" applyFont="1" applyFill="1" applyBorder="1" applyAlignment="1">
      <alignment vertical="center"/>
    </xf>
    <xf numFmtId="8" fontId="9" fillId="3" borderId="18" xfId="0" applyNumberFormat="1" applyFont="1" applyFill="1" applyBorder="1" applyAlignment="1">
      <alignment vertical="center"/>
    </xf>
    <xf numFmtId="8" fontId="9" fillId="3" borderId="18" xfId="0" applyNumberFormat="1" applyFont="1" applyFill="1" applyBorder="1" applyAlignment="1">
      <alignment horizontal="center" vertical="center"/>
    </xf>
    <xf numFmtId="164" fontId="9" fillId="3" borderId="32" xfId="1" applyNumberFormat="1" applyFont="1" applyFill="1" applyBorder="1" applyAlignment="1" applyProtection="1">
      <alignment horizontal="center" vertical="center"/>
    </xf>
    <xf numFmtId="6" fontId="9" fillId="6" borderId="21" xfId="0" applyNumberFormat="1" applyFont="1" applyFill="1" applyBorder="1" applyAlignment="1">
      <alignment vertical="center"/>
    </xf>
    <xf numFmtId="6" fontId="9" fillId="6" borderId="20" xfId="0" applyNumberFormat="1" applyFont="1" applyFill="1" applyBorder="1" applyAlignment="1">
      <alignment vertical="center"/>
    </xf>
    <xf numFmtId="6" fontId="9" fillId="2" borderId="20" xfId="0" applyNumberFormat="1" applyFont="1" applyFill="1" applyBorder="1" applyAlignment="1">
      <alignment vertical="center"/>
    </xf>
    <xf numFmtId="6" fontId="9" fillId="0" borderId="39" xfId="0" applyNumberFormat="1" applyFont="1" applyBorder="1" applyAlignment="1">
      <alignment vertical="center"/>
    </xf>
    <xf numFmtId="6" fontId="9" fillId="0" borderId="38" xfId="0" applyNumberFormat="1" applyFont="1" applyBorder="1" applyAlignment="1">
      <alignment vertical="center"/>
    </xf>
    <xf numFmtId="6" fontId="9" fillId="0" borderId="37" xfId="0" applyNumberFormat="1" applyFont="1" applyBorder="1" applyAlignment="1">
      <alignment vertical="center"/>
    </xf>
    <xf numFmtId="6" fontId="9" fillId="3" borderId="44" xfId="0" applyNumberFormat="1" applyFont="1" applyFill="1" applyBorder="1" applyAlignment="1">
      <alignment vertical="center"/>
    </xf>
    <xf numFmtId="6" fontId="9" fillId="3" borderId="46" xfId="0" applyNumberFormat="1" applyFont="1" applyFill="1" applyBorder="1" applyAlignment="1">
      <alignment vertical="center"/>
    </xf>
    <xf numFmtId="6" fontId="9" fillId="3" borderId="31" xfId="0" applyNumberFormat="1" applyFont="1" applyFill="1" applyBorder="1" applyAlignment="1">
      <alignment vertical="center"/>
    </xf>
    <xf numFmtId="6" fontId="9" fillId="3" borderId="62" xfId="0" applyNumberFormat="1" applyFont="1" applyFill="1" applyBorder="1" applyAlignment="1">
      <alignment vertical="center"/>
    </xf>
    <xf numFmtId="6" fontId="9" fillId="3" borderId="64" xfId="0" applyNumberFormat="1" applyFont="1" applyFill="1" applyBorder="1" applyAlignment="1">
      <alignment vertical="center"/>
    </xf>
    <xf numFmtId="164" fontId="9" fillId="3" borderId="18" xfId="1" applyNumberFormat="1" applyFont="1" applyFill="1" applyBorder="1" applyAlignment="1" applyProtection="1">
      <alignment horizontal="center" vertical="center"/>
    </xf>
    <xf numFmtId="6" fontId="9" fillId="3" borderId="39" xfId="0" applyNumberFormat="1" applyFont="1" applyFill="1" applyBorder="1" applyAlignment="1">
      <alignment vertical="center"/>
    </xf>
    <xf numFmtId="6" fontId="9" fillId="3" borderId="38" xfId="0" applyNumberFormat="1" applyFont="1" applyFill="1" applyBorder="1" applyAlignment="1">
      <alignment vertical="center"/>
    </xf>
    <xf numFmtId="6" fontId="9" fillId="3" borderId="20" xfId="0" applyNumberFormat="1" applyFont="1" applyFill="1" applyBorder="1" applyAlignment="1">
      <alignment vertical="center"/>
    </xf>
    <xf numFmtId="164" fontId="9" fillId="3" borderId="19" xfId="1" applyNumberFormat="1" applyFont="1" applyFill="1" applyBorder="1" applyAlignment="1" applyProtection="1">
      <alignment horizontal="center" vertical="center"/>
    </xf>
    <xf numFmtId="164" fontId="9" fillId="2" borderId="48" xfId="1" applyNumberFormat="1" applyFont="1" applyFill="1" applyBorder="1" applyAlignment="1" applyProtection="1">
      <alignment horizontal="center" vertical="center"/>
    </xf>
    <xf numFmtId="8" fontId="9" fillId="3" borderId="46" xfId="0" applyNumberFormat="1" applyFont="1" applyFill="1" applyBorder="1" applyAlignment="1">
      <alignment vertical="center"/>
    </xf>
    <xf numFmtId="8" fontId="9" fillId="3" borderId="31" xfId="0" applyNumberFormat="1" applyFont="1" applyFill="1" applyBorder="1" applyAlignment="1">
      <alignment vertical="center"/>
    </xf>
    <xf numFmtId="8" fontId="9" fillId="3" borderId="45" xfId="0" applyNumberFormat="1" applyFont="1" applyFill="1" applyBorder="1" applyAlignment="1">
      <alignment vertical="center"/>
    </xf>
    <xf numFmtId="8" fontId="9" fillId="3" borderId="32" xfId="0" applyNumberFormat="1" applyFont="1" applyFill="1" applyBorder="1" applyAlignment="1">
      <alignment vertical="center"/>
    </xf>
    <xf numFmtId="6" fontId="9" fillId="3" borderId="22" xfId="0" applyNumberFormat="1" applyFont="1" applyFill="1" applyBorder="1" applyAlignment="1">
      <alignment vertical="center"/>
    </xf>
    <xf numFmtId="6" fontId="9" fillId="3" borderId="23" xfId="0" applyNumberFormat="1" applyFont="1" applyFill="1" applyBorder="1" applyAlignment="1">
      <alignment vertical="center"/>
    </xf>
    <xf numFmtId="6" fontId="9" fillId="3" borderId="72" xfId="0" applyNumberFormat="1" applyFont="1" applyFill="1" applyBorder="1" applyAlignment="1">
      <alignment vertical="center"/>
    </xf>
    <xf numFmtId="6" fontId="9" fillId="3" borderId="71" xfId="0" applyNumberFormat="1" applyFont="1" applyFill="1" applyBorder="1" applyAlignment="1">
      <alignment vertical="center"/>
    </xf>
    <xf numFmtId="6" fontId="9" fillId="3" borderId="70" xfId="0" applyNumberFormat="1" applyFont="1" applyFill="1" applyBorder="1" applyAlignment="1">
      <alignment vertical="center"/>
    </xf>
    <xf numFmtId="164" fontId="9" fillId="3" borderId="70" xfId="1" applyNumberFormat="1" applyFont="1" applyFill="1" applyBorder="1" applyAlignment="1" applyProtection="1">
      <alignment horizontal="center" vertical="center"/>
    </xf>
    <xf numFmtId="6" fontId="10" fillId="2" borderId="56" xfId="0" applyNumberFormat="1" applyFont="1" applyFill="1" applyBorder="1" applyAlignment="1">
      <alignment vertical="center"/>
    </xf>
    <xf numFmtId="5" fontId="9" fillId="0" borderId="76" xfId="0" applyNumberFormat="1" applyFont="1" applyBorder="1" applyAlignment="1">
      <alignment vertical="center"/>
    </xf>
    <xf numFmtId="6" fontId="9" fillId="0" borderId="75" xfId="0" applyNumberFormat="1" applyFont="1" applyBorder="1" applyAlignment="1">
      <alignment vertical="center"/>
    </xf>
    <xf numFmtId="0" fontId="9" fillId="0" borderId="57" xfId="0" applyFont="1" applyBorder="1" applyAlignment="1">
      <alignment horizontal="center" vertical="center"/>
    </xf>
    <xf numFmtId="164" fontId="9" fillId="0" borderId="57" xfId="1" applyNumberFormat="1" applyFont="1" applyFill="1" applyBorder="1" applyAlignment="1" applyProtection="1">
      <alignment horizontal="center" vertical="center"/>
    </xf>
    <xf numFmtId="164" fontId="9" fillId="3" borderId="17" xfId="1" applyNumberFormat="1" applyFont="1" applyFill="1" applyBorder="1" applyAlignment="1" applyProtection="1">
      <alignment horizontal="center" vertical="center"/>
    </xf>
    <xf numFmtId="164" fontId="9" fillId="3" borderId="29" xfId="1" applyNumberFormat="1" applyFont="1" applyFill="1" applyBorder="1" applyAlignment="1" applyProtection="1">
      <alignment horizontal="center" vertical="center"/>
    </xf>
    <xf numFmtId="0" fontId="6" fillId="0" borderId="0" xfId="0" applyFont="1" applyAlignment="1">
      <alignment vertical="center" wrapText="1"/>
    </xf>
    <xf numFmtId="0" fontId="8" fillId="0" borderId="112" xfId="0" applyFont="1" applyBorder="1" applyAlignment="1">
      <alignment horizontal="center" vertical="center"/>
    </xf>
    <xf numFmtId="0" fontId="8" fillId="0" borderId="115" xfId="0" applyFont="1" applyBorder="1" applyAlignment="1">
      <alignment horizontal="center" vertical="center"/>
    </xf>
    <xf numFmtId="0" fontId="8" fillId="0" borderId="126" xfId="0" applyFont="1" applyBorder="1" applyAlignment="1">
      <alignment horizontal="center" vertical="center"/>
    </xf>
    <xf numFmtId="0" fontId="3" fillId="0" borderId="127" xfId="0" applyFont="1" applyBorder="1" applyAlignment="1">
      <alignment vertical="center"/>
    </xf>
    <xf numFmtId="0" fontId="3" fillId="0" borderId="128" xfId="0" applyFont="1" applyBorder="1" applyAlignment="1">
      <alignment vertical="center"/>
    </xf>
    <xf numFmtId="0" fontId="3" fillId="0" borderId="130" xfId="0" applyFont="1" applyBorder="1" applyAlignment="1">
      <alignment horizontal="left" vertical="center"/>
    </xf>
    <xf numFmtId="164" fontId="3" fillId="0" borderId="130" xfId="1" applyNumberFormat="1" applyFont="1" applyFill="1" applyBorder="1" applyAlignment="1" applyProtection="1">
      <alignment horizontal="center" vertical="center"/>
    </xf>
    <xf numFmtId="0" fontId="6" fillId="2" borderId="127" xfId="0" applyFont="1" applyFill="1" applyBorder="1" applyAlignment="1">
      <alignment vertical="center"/>
    </xf>
    <xf numFmtId="0" fontId="6" fillId="2" borderId="128" xfId="0" applyFont="1" applyFill="1" applyBorder="1" applyAlignment="1">
      <alignment vertical="center"/>
    </xf>
    <xf numFmtId="0" fontId="6" fillId="2" borderId="130" xfId="0" applyFont="1" applyFill="1" applyBorder="1" applyAlignment="1">
      <alignment horizontal="left" vertical="center"/>
    </xf>
    <xf numFmtId="6" fontId="6" fillId="2" borderId="127" xfId="0" applyNumberFormat="1" applyFont="1" applyFill="1" applyBorder="1" applyAlignment="1">
      <alignment vertical="center"/>
    </xf>
    <xf numFmtId="6" fontId="6" fillId="2" borderId="128" xfId="0" applyNumberFormat="1" applyFont="1" applyFill="1" applyBorder="1" applyAlignment="1">
      <alignment vertical="center"/>
    </xf>
    <xf numFmtId="164" fontId="3" fillId="2" borderId="130" xfId="1" applyNumberFormat="1" applyFont="1" applyFill="1" applyBorder="1" applyAlignment="1" applyProtection="1">
      <alignment horizontal="center" vertical="center"/>
    </xf>
    <xf numFmtId="0" fontId="3" fillId="2" borderId="127" xfId="0" applyFont="1" applyFill="1" applyBorder="1" applyAlignment="1">
      <alignment vertical="center"/>
    </xf>
    <xf numFmtId="0" fontId="3" fillId="2" borderId="128" xfId="0" quotePrefix="1" applyFont="1" applyFill="1" applyBorder="1" applyAlignment="1">
      <alignment horizontal="left" vertical="center"/>
    </xf>
    <xf numFmtId="0" fontId="3" fillId="2" borderId="130" xfId="0" quotePrefix="1" applyFont="1" applyFill="1" applyBorder="1" applyAlignment="1">
      <alignment horizontal="center" vertical="center"/>
    </xf>
    <xf numFmtId="6" fontId="3" fillId="4" borderId="127" xfId="0" applyNumberFormat="1" applyFont="1" applyFill="1" applyBorder="1" applyAlignment="1">
      <alignment vertical="center"/>
    </xf>
    <xf numFmtId="6" fontId="3" fillId="4" borderId="128" xfId="0" applyNumberFormat="1" applyFont="1" applyFill="1" applyBorder="1" applyAlignment="1">
      <alignment vertical="center"/>
    </xf>
    <xf numFmtId="0" fontId="6" fillId="2" borderId="128" xfId="0" applyFont="1" applyFill="1" applyBorder="1" applyAlignment="1">
      <alignment horizontal="left" vertical="center"/>
    </xf>
    <xf numFmtId="0" fontId="6" fillId="2" borderId="130" xfId="0" applyFont="1" applyFill="1" applyBorder="1" applyAlignment="1">
      <alignment horizontal="center" vertical="center"/>
    </xf>
    <xf numFmtId="6" fontId="10" fillId="5" borderId="112" xfId="0" applyNumberFormat="1" applyFont="1" applyFill="1" applyBorder="1" applyAlignment="1">
      <alignment vertical="center"/>
    </xf>
    <xf numFmtId="6" fontId="10" fillId="5" borderId="113" xfId="0" applyNumberFormat="1" applyFont="1" applyFill="1" applyBorder="1" applyAlignment="1">
      <alignment vertical="center"/>
    </xf>
    <xf numFmtId="6" fontId="10" fillId="5" borderId="114" xfId="0" applyNumberFormat="1" applyFont="1" applyFill="1" applyBorder="1" applyAlignment="1">
      <alignment vertical="center"/>
    </xf>
    <xf numFmtId="6" fontId="10" fillId="6" borderId="115" xfId="0" applyNumberFormat="1" applyFont="1" applyFill="1" applyBorder="1" applyAlignment="1">
      <alignment vertical="center"/>
    </xf>
    <xf numFmtId="6" fontId="10" fillId="3" borderId="116" xfId="0" applyNumberFormat="1" applyFont="1" applyFill="1" applyBorder="1" applyAlignment="1">
      <alignment vertical="center"/>
    </xf>
    <xf numFmtId="6" fontId="10" fillId="5" borderId="126" xfId="0" applyNumberFormat="1" applyFont="1" applyFill="1" applyBorder="1" applyAlignment="1">
      <alignment vertical="center"/>
    </xf>
    <xf numFmtId="6" fontId="10" fillId="5" borderId="127" xfId="0" applyNumberFormat="1" applyFont="1" applyFill="1" applyBorder="1" applyAlignment="1">
      <alignment vertical="center"/>
    </xf>
    <xf numFmtId="6" fontId="10" fillId="5" borderId="128" xfId="0" applyNumberFormat="1" applyFont="1" applyFill="1" applyBorder="1" applyAlignment="1">
      <alignment vertical="center"/>
    </xf>
    <xf numFmtId="0" fontId="10" fillId="7" borderId="129" xfId="0" applyFont="1" applyFill="1" applyBorder="1" applyAlignment="1">
      <alignment horizontal="center" vertical="center"/>
    </xf>
    <xf numFmtId="9" fontId="10" fillId="7" borderId="130" xfId="0" applyNumberFormat="1" applyFont="1" applyFill="1" applyBorder="1" applyAlignment="1">
      <alignment horizontal="center" vertical="center"/>
    </xf>
    <xf numFmtId="0" fontId="9" fillId="0" borderId="112" xfId="0" applyFont="1" applyBorder="1" applyAlignment="1">
      <alignment horizontal="left" vertical="center"/>
    </xf>
    <xf numFmtId="0" fontId="10" fillId="0" borderId="114" xfId="0" applyFont="1" applyBorder="1" applyAlignment="1">
      <alignment horizontal="right" vertical="center"/>
    </xf>
    <xf numFmtId="0" fontId="9" fillId="0" borderId="115" xfId="0" applyFont="1" applyBorder="1" applyAlignment="1">
      <alignment horizontal="left" vertical="center"/>
    </xf>
    <xf numFmtId="0" fontId="10" fillId="0" borderId="116" xfId="0" applyFont="1" applyBorder="1" applyAlignment="1">
      <alignment horizontal="right" vertical="center"/>
    </xf>
    <xf numFmtId="0" fontId="9" fillId="0" borderId="126" xfId="0" applyFont="1" applyBorder="1" applyAlignment="1">
      <alignment horizontal="left" vertical="center"/>
    </xf>
    <xf numFmtId="0" fontId="10" fillId="0" borderId="128" xfId="0" applyFont="1" applyBorder="1" applyAlignment="1">
      <alignment horizontal="right" vertical="center"/>
    </xf>
    <xf numFmtId="0" fontId="3" fillId="0" borderId="148" xfId="0" applyFont="1" applyBorder="1" applyAlignment="1">
      <alignment horizontal="center" vertical="center"/>
    </xf>
    <xf numFmtId="0" fontId="3" fillId="2" borderId="148" xfId="0" applyFont="1" applyFill="1" applyBorder="1" applyAlignment="1">
      <alignment horizontal="center" vertical="center"/>
    </xf>
    <xf numFmtId="0" fontId="3" fillId="9" borderId="148" xfId="0" applyFont="1" applyFill="1" applyBorder="1" applyAlignment="1">
      <alignment horizontal="center" vertical="center"/>
    </xf>
    <xf numFmtId="0" fontId="3" fillId="0" borderId="149" xfId="0" applyFont="1" applyBorder="1" applyAlignment="1">
      <alignment vertical="center"/>
    </xf>
    <xf numFmtId="6" fontId="6" fillId="2" borderId="149" xfId="0" applyNumberFormat="1" applyFont="1" applyFill="1" applyBorder="1" applyAlignment="1">
      <alignment vertical="center"/>
    </xf>
    <xf numFmtId="6" fontId="3" fillId="4" borderId="149" xfId="0" applyNumberFormat="1" applyFont="1" applyFill="1" applyBorder="1" applyAlignment="1">
      <alignment vertical="center"/>
    </xf>
    <xf numFmtId="0" fontId="3" fillId="0" borderId="150" xfId="0" applyFont="1" applyBorder="1" applyAlignment="1">
      <alignment vertical="center"/>
    </xf>
    <xf numFmtId="6" fontId="6" fillId="2" borderId="150" xfId="0" applyNumberFormat="1" applyFont="1" applyFill="1" applyBorder="1" applyAlignment="1">
      <alignment vertical="center"/>
    </xf>
    <xf numFmtId="6" fontId="3" fillId="4" borderId="150" xfId="0" applyNumberFormat="1" applyFont="1" applyFill="1" applyBorder="1" applyAlignment="1">
      <alignment vertical="center"/>
    </xf>
    <xf numFmtId="0" fontId="3" fillId="0" borderId="152" xfId="0" applyFont="1" applyBorder="1" applyAlignment="1">
      <alignment horizontal="center" vertical="center"/>
    </xf>
    <xf numFmtId="0" fontId="3" fillId="0" borderId="155" xfId="0" applyFont="1" applyBorder="1" applyAlignment="1">
      <alignment vertical="center"/>
    </xf>
    <xf numFmtId="37" fontId="3" fillId="0" borderId="156" xfId="0" applyNumberFormat="1" applyFont="1" applyBorder="1" applyAlignment="1">
      <alignment vertical="center"/>
    </xf>
    <xf numFmtId="37" fontId="3" fillId="0" borderId="157" xfId="0" applyNumberFormat="1" applyFont="1" applyBorder="1" applyAlignment="1">
      <alignment vertical="center"/>
    </xf>
    <xf numFmtId="0" fontId="3" fillId="0" borderId="158" xfId="0" applyFont="1" applyBorder="1" applyAlignment="1">
      <alignment vertical="center"/>
    </xf>
    <xf numFmtId="37" fontId="3" fillId="0" borderId="158" xfId="0" applyNumberFormat="1" applyFont="1" applyBorder="1" applyAlignment="1">
      <alignment vertical="center"/>
    </xf>
    <xf numFmtId="0" fontId="3" fillId="0" borderId="154" xfId="0" applyFont="1" applyBorder="1" applyAlignment="1">
      <alignment vertical="center"/>
    </xf>
    <xf numFmtId="0" fontId="3" fillId="3" borderId="159" xfId="0" applyFont="1" applyFill="1" applyBorder="1" applyAlignment="1">
      <alignment horizontal="center" vertical="center"/>
    </xf>
    <xf numFmtId="0" fontId="3" fillId="3" borderId="160" xfId="0" applyFont="1" applyFill="1" applyBorder="1" applyAlignment="1">
      <alignment vertical="center"/>
    </xf>
    <xf numFmtId="0" fontId="3" fillId="3" borderId="158" xfId="0" applyFont="1" applyFill="1" applyBorder="1" applyAlignment="1">
      <alignment vertical="center"/>
    </xf>
    <xf numFmtId="0" fontId="3" fillId="3" borderId="151" xfId="0" applyFont="1" applyFill="1" applyBorder="1" applyAlignment="1">
      <alignment horizontal="center" vertical="center"/>
    </xf>
    <xf numFmtId="8" fontId="3" fillId="3" borderId="161" xfId="0" applyNumberFormat="1" applyFont="1" applyFill="1" applyBorder="1" applyAlignment="1">
      <alignment vertical="center"/>
    </xf>
    <xf numFmtId="8" fontId="3" fillId="3" borderId="162" xfId="0" applyNumberFormat="1" applyFont="1" applyFill="1" applyBorder="1" applyAlignment="1">
      <alignment vertical="center"/>
    </xf>
    <xf numFmtId="6" fontId="3" fillId="3" borderId="158" xfId="0" applyNumberFormat="1" applyFont="1" applyFill="1" applyBorder="1" applyAlignment="1">
      <alignment vertical="center"/>
    </xf>
    <xf numFmtId="8" fontId="3" fillId="3" borderId="158" xfId="0" applyNumberFormat="1" applyFont="1" applyFill="1" applyBorder="1" applyAlignment="1">
      <alignment vertical="center"/>
    </xf>
    <xf numFmtId="8" fontId="3" fillId="3" borderId="151" xfId="0" applyNumberFormat="1" applyFont="1" applyFill="1" applyBorder="1" applyAlignment="1">
      <alignment horizontal="center" vertical="center"/>
    </xf>
    <xf numFmtId="0" fontId="3" fillId="0" borderId="159" xfId="0" applyFont="1" applyBorder="1" applyAlignment="1">
      <alignment horizontal="center" vertical="center"/>
    </xf>
    <xf numFmtId="0" fontId="3" fillId="0" borderId="160" xfId="0" applyFont="1" applyBorder="1" applyAlignment="1">
      <alignment vertical="center"/>
    </xf>
    <xf numFmtId="0" fontId="3" fillId="0" borderId="151" xfId="0" applyFont="1" applyBorder="1" applyAlignment="1">
      <alignment horizontal="center" vertical="center"/>
    </xf>
    <xf numFmtId="6" fontId="3" fillId="0" borderId="161" xfId="0" applyNumberFormat="1" applyFont="1" applyBorder="1" applyAlignment="1">
      <alignment vertical="center"/>
    </xf>
    <xf numFmtId="6" fontId="3" fillId="0" borderId="162" xfId="0" applyNumberFormat="1" applyFont="1" applyBorder="1" applyAlignment="1">
      <alignment vertical="center"/>
    </xf>
    <xf numFmtId="6" fontId="3" fillId="0" borderId="158" xfId="0" applyNumberFormat="1" applyFont="1" applyBorder="1" applyAlignment="1">
      <alignment vertical="center"/>
    </xf>
    <xf numFmtId="6" fontId="3" fillId="3" borderId="161" xfId="0" applyNumberFormat="1" applyFont="1" applyFill="1" applyBorder="1" applyAlignment="1">
      <alignment vertical="center"/>
    </xf>
    <xf numFmtId="6" fontId="3" fillId="3" borderId="162" xfId="0" applyNumberFormat="1" applyFont="1" applyFill="1" applyBorder="1" applyAlignment="1">
      <alignment vertical="center"/>
    </xf>
    <xf numFmtId="164" fontId="3" fillId="3" borderId="151" xfId="1" applyNumberFormat="1" applyFont="1" applyFill="1" applyBorder="1" applyAlignment="1" applyProtection="1">
      <alignment horizontal="center" vertical="center"/>
    </xf>
    <xf numFmtId="9" fontId="3" fillId="3" borderId="151" xfId="1" applyFont="1" applyFill="1" applyBorder="1" applyAlignment="1" applyProtection="1">
      <alignment horizontal="center" vertical="center"/>
    </xf>
    <xf numFmtId="6" fontId="3" fillId="6" borderId="161" xfId="0" applyNumberFormat="1" applyFont="1" applyFill="1" applyBorder="1" applyAlignment="1">
      <alignment vertical="center"/>
    </xf>
    <xf numFmtId="6" fontId="3" fillId="6" borderId="162" xfId="0" applyNumberFormat="1" applyFont="1" applyFill="1" applyBorder="1" applyAlignment="1">
      <alignment vertical="center"/>
    </xf>
    <xf numFmtId="6" fontId="3" fillId="6" borderId="158" xfId="0" applyNumberFormat="1" applyFont="1" applyFill="1" applyBorder="1" applyAlignment="1">
      <alignment vertical="center"/>
    </xf>
    <xf numFmtId="0" fontId="3" fillId="2" borderId="159" xfId="0" applyFont="1" applyFill="1" applyBorder="1" applyAlignment="1">
      <alignment horizontal="center" vertical="center"/>
    </xf>
    <xf numFmtId="0" fontId="3" fillId="2" borderId="160" xfId="0" applyFont="1" applyFill="1" applyBorder="1" applyAlignment="1">
      <alignment vertical="center"/>
    </xf>
    <xf numFmtId="0" fontId="3" fillId="2" borderId="158" xfId="0" applyFont="1" applyFill="1" applyBorder="1" applyAlignment="1">
      <alignment vertical="center"/>
    </xf>
    <xf numFmtId="0" fontId="3" fillId="2" borderId="151" xfId="0" applyFont="1" applyFill="1" applyBorder="1" applyAlignment="1">
      <alignment horizontal="left" vertical="center"/>
    </xf>
    <xf numFmtId="6" fontId="3" fillId="2" borderId="161" xfId="0" applyNumberFormat="1" applyFont="1" applyFill="1" applyBorder="1" applyAlignment="1">
      <alignment vertical="center"/>
    </xf>
    <xf numFmtId="6" fontId="3" fillId="2" borderId="162" xfId="0" applyNumberFormat="1" applyFont="1" applyFill="1" applyBorder="1" applyAlignment="1">
      <alignment vertical="center"/>
    </xf>
    <xf numFmtId="6" fontId="3" fillId="2" borderId="158" xfId="0" applyNumberFormat="1" applyFont="1" applyFill="1" applyBorder="1" applyAlignment="1">
      <alignment vertical="center"/>
    </xf>
    <xf numFmtId="164" fontId="3" fillId="2" borderId="151" xfId="1" applyNumberFormat="1" applyFont="1" applyFill="1" applyBorder="1" applyAlignment="1" applyProtection="1">
      <alignment horizontal="center" vertical="center"/>
    </xf>
    <xf numFmtId="0" fontId="3" fillId="0" borderId="151" xfId="0" applyFont="1" applyBorder="1" applyAlignment="1">
      <alignment horizontal="left" vertical="center"/>
    </xf>
    <xf numFmtId="6" fontId="3" fillId="0" borderId="151" xfId="0" applyNumberFormat="1" applyFont="1" applyBorder="1" applyAlignment="1">
      <alignment vertical="center"/>
    </xf>
    <xf numFmtId="0" fontId="3" fillId="3" borderId="151" xfId="0" applyFont="1" applyFill="1" applyBorder="1" applyAlignment="1">
      <alignment horizontal="left" vertical="center"/>
    </xf>
    <xf numFmtId="6" fontId="3" fillId="3" borderId="151" xfId="0" applyNumberFormat="1" applyFont="1" applyFill="1" applyBorder="1" applyAlignment="1">
      <alignment vertical="center"/>
    </xf>
    <xf numFmtId="0" fontId="3" fillId="3" borderId="152" xfId="0" applyFont="1" applyFill="1" applyBorder="1" applyAlignment="1">
      <alignment horizontal="center" vertical="center"/>
    </xf>
    <xf numFmtId="0" fontId="3" fillId="3" borderId="153" xfId="0" applyFont="1" applyFill="1" applyBorder="1" applyAlignment="1">
      <alignment vertical="center"/>
    </xf>
    <xf numFmtId="0" fontId="3" fillId="3" borderId="154" xfId="0" applyFont="1" applyFill="1" applyBorder="1" applyAlignment="1">
      <alignment vertical="center"/>
    </xf>
    <xf numFmtId="0" fontId="3" fillId="3" borderId="155" xfId="0" applyFont="1" applyFill="1" applyBorder="1" applyAlignment="1">
      <alignment horizontal="left" vertical="center"/>
    </xf>
    <xf numFmtId="8" fontId="3" fillId="3" borderId="156" xfId="0" applyNumberFormat="1" applyFont="1" applyFill="1" applyBorder="1" applyAlignment="1">
      <alignment vertical="center"/>
    </xf>
    <xf numFmtId="8" fontId="3" fillId="3" borderId="157" xfId="0" applyNumberFormat="1" applyFont="1" applyFill="1" applyBorder="1" applyAlignment="1">
      <alignment vertical="center"/>
    </xf>
    <xf numFmtId="8" fontId="3" fillId="3" borderId="154" xfId="0" applyNumberFormat="1" applyFont="1" applyFill="1" applyBorder="1" applyAlignment="1">
      <alignment vertical="center"/>
    </xf>
    <xf numFmtId="164" fontId="3" fillId="3" borderId="155" xfId="1" applyNumberFormat="1" applyFont="1" applyFill="1" applyBorder="1" applyAlignment="1" applyProtection="1">
      <alignment horizontal="center" vertical="center"/>
    </xf>
    <xf numFmtId="5" fontId="3" fillId="0" borderId="156" xfId="0" applyNumberFormat="1" applyFont="1" applyBorder="1" applyAlignment="1">
      <alignment vertical="center"/>
    </xf>
    <xf numFmtId="5" fontId="3" fillId="0" borderId="157" xfId="0" applyNumberFormat="1" applyFont="1" applyBorder="1" applyAlignment="1">
      <alignment vertical="center"/>
    </xf>
    <xf numFmtId="6" fontId="3" fillId="0" borderId="154" xfId="0" applyNumberFormat="1" applyFont="1" applyBorder="1" applyAlignment="1">
      <alignment vertical="center"/>
    </xf>
    <xf numFmtId="5" fontId="3" fillId="0" borderId="154" xfId="0" applyNumberFormat="1" applyFont="1" applyBorder="1" applyAlignment="1">
      <alignment vertical="center"/>
    </xf>
    <xf numFmtId="0" fontId="3" fillId="0" borderId="153" xfId="0" applyFont="1" applyBorder="1" applyAlignment="1">
      <alignment horizontal="center" vertical="center"/>
    </xf>
    <xf numFmtId="164" fontId="3" fillId="0" borderId="155" xfId="1" applyNumberFormat="1" applyFont="1" applyFill="1" applyBorder="1" applyAlignment="1" applyProtection="1">
      <alignment horizontal="center" vertical="center"/>
    </xf>
    <xf numFmtId="0" fontId="3" fillId="3" borderId="151" xfId="0" applyFont="1" applyFill="1" applyBorder="1" applyAlignment="1">
      <alignment vertical="center"/>
    </xf>
    <xf numFmtId="37" fontId="3" fillId="3" borderId="161" xfId="0" applyNumberFormat="1" applyFont="1" applyFill="1" applyBorder="1" applyAlignment="1">
      <alignment vertical="center"/>
    </xf>
    <xf numFmtId="37" fontId="3" fillId="3" borderId="162" xfId="0" applyNumberFormat="1" applyFont="1" applyFill="1" applyBorder="1" applyAlignment="1">
      <alignment vertical="center"/>
    </xf>
    <xf numFmtId="37" fontId="3" fillId="3" borderId="158" xfId="0" applyNumberFormat="1" applyFont="1" applyFill="1" applyBorder="1" applyAlignment="1">
      <alignment vertical="center"/>
    </xf>
    <xf numFmtId="0" fontId="3" fillId="3" borderId="160" xfId="0" quotePrefix="1" applyFont="1" applyFill="1" applyBorder="1" applyAlignment="1">
      <alignment horizontal="center" vertical="center"/>
    </xf>
    <xf numFmtId="0" fontId="6" fillId="0" borderId="160" xfId="0" applyFont="1" applyBorder="1" applyAlignment="1">
      <alignment vertical="center"/>
    </xf>
    <xf numFmtId="0" fontId="3" fillId="0" borderId="160" xfId="0" quotePrefix="1" applyFont="1" applyBorder="1" applyAlignment="1">
      <alignment horizontal="left" vertical="center"/>
    </xf>
    <xf numFmtId="6" fontId="3" fillId="3" borderId="160" xfId="0" applyNumberFormat="1" applyFont="1" applyFill="1" applyBorder="1" applyAlignment="1">
      <alignment vertical="center"/>
    </xf>
    <xf numFmtId="5" fontId="3" fillId="0" borderId="161" xfId="0" applyNumberFormat="1" applyFont="1" applyBorder="1" applyAlignment="1">
      <alignment vertical="center"/>
    </xf>
    <xf numFmtId="5" fontId="3" fillId="0" borderId="162" xfId="0" applyNumberFormat="1" applyFont="1" applyBorder="1" applyAlignment="1">
      <alignment vertical="center"/>
    </xf>
    <xf numFmtId="0" fontId="3" fillId="2" borderId="158" xfId="0" applyFont="1" applyFill="1" applyBorder="1" applyAlignment="1">
      <alignment horizontal="left" vertical="center"/>
    </xf>
    <xf numFmtId="0" fontId="3" fillId="2" borderId="151" xfId="0" quotePrefix="1" applyFont="1" applyFill="1" applyBorder="1" applyAlignment="1">
      <alignment horizontal="center" vertical="center"/>
    </xf>
    <xf numFmtId="6" fontId="3" fillId="4" borderId="161" xfId="0" applyNumberFormat="1" applyFont="1" applyFill="1" applyBorder="1" applyAlignment="1">
      <alignment vertical="center"/>
    </xf>
    <xf numFmtId="6" fontId="3" fillId="4" borderId="162" xfId="0" applyNumberFormat="1" applyFont="1" applyFill="1" applyBorder="1" applyAlignment="1">
      <alignment vertical="center"/>
    </xf>
    <xf numFmtId="6" fontId="3" fillId="4" borderId="158" xfId="0" applyNumberFormat="1" applyFont="1" applyFill="1" applyBorder="1" applyAlignment="1">
      <alignment vertical="center"/>
    </xf>
    <xf numFmtId="6" fontId="3" fillId="4" borderId="160" xfId="0" applyNumberFormat="1" applyFont="1" applyFill="1" applyBorder="1" applyAlignment="1">
      <alignment vertical="center"/>
    </xf>
    <xf numFmtId="0" fontId="25" fillId="3" borderId="160" xfId="0" applyFont="1" applyFill="1" applyBorder="1" applyAlignment="1">
      <alignment vertical="center"/>
    </xf>
    <xf numFmtId="5" fontId="3" fillId="3" borderId="161" xfId="0" applyNumberFormat="1" applyFont="1" applyFill="1" applyBorder="1" applyAlignment="1">
      <alignment vertical="center"/>
    </xf>
    <xf numFmtId="5" fontId="3" fillId="3" borderId="162" xfId="0" applyNumberFormat="1" applyFont="1" applyFill="1" applyBorder="1" applyAlignment="1">
      <alignment vertical="center"/>
    </xf>
    <xf numFmtId="5" fontId="3" fillId="3" borderId="158" xfId="0" applyNumberFormat="1" applyFont="1" applyFill="1" applyBorder="1" applyAlignment="1">
      <alignment vertical="center"/>
    </xf>
    <xf numFmtId="0" fontId="25" fillId="0" borderId="160" xfId="0" applyFont="1" applyBorder="1" applyAlignment="1">
      <alignment horizontal="left" vertical="center"/>
    </xf>
    <xf numFmtId="0" fontId="3" fillId="0" borderId="160" xfId="0" applyFont="1" applyBorder="1" applyAlignment="1">
      <alignment horizontal="left" vertical="center"/>
    </xf>
    <xf numFmtId="0" fontId="3" fillId="0" borderId="151" xfId="0" quotePrefix="1" applyFont="1" applyBorder="1" applyAlignment="1">
      <alignment horizontal="center" vertical="center"/>
    </xf>
    <xf numFmtId="0" fontId="3" fillId="0" borderId="164" xfId="0" applyFont="1" applyBorder="1" applyAlignment="1">
      <alignment horizontal="center" vertical="center"/>
    </xf>
    <xf numFmtId="0" fontId="3" fillId="0" borderId="165" xfId="0" applyFont="1" applyBorder="1" applyAlignment="1">
      <alignment vertical="center"/>
    </xf>
    <xf numFmtId="0" fontId="3" fillId="0" borderId="166" xfId="0" applyFont="1" applyBorder="1" applyAlignment="1">
      <alignment vertical="center"/>
    </xf>
    <xf numFmtId="0" fontId="3" fillId="0" borderId="163" xfId="0" applyFont="1" applyBorder="1" applyAlignment="1">
      <alignment horizontal="center" vertical="center"/>
    </xf>
    <xf numFmtId="5" fontId="3" fillId="0" borderId="167" xfId="0" applyNumberFormat="1" applyFont="1" applyBorder="1" applyAlignment="1">
      <alignment vertical="center"/>
    </xf>
    <xf numFmtId="5" fontId="3" fillId="0" borderId="168" xfId="0" applyNumberFormat="1" applyFont="1" applyBorder="1" applyAlignment="1">
      <alignment vertical="center"/>
    </xf>
    <xf numFmtId="6" fontId="3" fillId="3" borderId="165" xfId="0" applyNumberFormat="1" applyFont="1" applyFill="1" applyBorder="1" applyAlignment="1">
      <alignment vertical="center"/>
    </xf>
    <xf numFmtId="164" fontId="3" fillId="3" borderId="163" xfId="1" applyNumberFormat="1" applyFont="1" applyFill="1" applyBorder="1" applyAlignment="1" applyProtection="1">
      <alignment horizontal="center" vertical="center"/>
    </xf>
    <xf numFmtId="0" fontId="3" fillId="0" borderId="165" xfId="0" quotePrefix="1" applyFont="1" applyBorder="1" applyAlignment="1">
      <alignment horizontal="left" vertical="center"/>
    </xf>
    <xf numFmtId="0" fontId="3" fillId="2" borderId="164" xfId="0" applyFont="1" applyFill="1" applyBorder="1" applyAlignment="1">
      <alignment horizontal="center" vertical="center"/>
    </xf>
    <xf numFmtId="0" fontId="3" fillId="2" borderId="165" xfId="0" applyFont="1" applyFill="1" applyBorder="1" applyAlignment="1">
      <alignment vertical="center"/>
    </xf>
    <xf numFmtId="0" fontId="3" fillId="2" borderId="166" xfId="0" applyFont="1" applyFill="1" applyBorder="1" applyAlignment="1">
      <alignment horizontal="left" vertical="center"/>
    </xf>
    <xf numFmtId="0" fontId="3" fillId="2" borderId="163" xfId="0" quotePrefix="1" applyFont="1" applyFill="1" applyBorder="1" applyAlignment="1">
      <alignment horizontal="center" vertical="center"/>
    </xf>
    <xf numFmtId="6" fontId="3" fillId="4" borderId="167" xfId="0" applyNumberFormat="1" applyFont="1" applyFill="1" applyBorder="1" applyAlignment="1">
      <alignment vertical="center"/>
    </xf>
    <xf numFmtId="6" fontId="3" fillId="4" borderId="168" xfId="0" applyNumberFormat="1" applyFont="1" applyFill="1" applyBorder="1" applyAlignment="1">
      <alignment vertical="center"/>
    </xf>
    <xf numFmtId="6" fontId="3" fillId="4" borderId="166" xfId="0" applyNumberFormat="1" applyFont="1" applyFill="1" applyBorder="1" applyAlignment="1">
      <alignment vertical="center"/>
    </xf>
    <xf numFmtId="6" fontId="3" fillId="4" borderId="165" xfId="0" applyNumberFormat="1" applyFont="1" applyFill="1" applyBorder="1" applyAlignment="1">
      <alignment vertical="center"/>
    </xf>
    <xf numFmtId="164" fontId="3" fillId="2" borderId="163" xfId="1" applyNumberFormat="1" applyFont="1" applyFill="1" applyBorder="1" applyAlignment="1" applyProtection="1">
      <alignment horizontal="center" vertical="center"/>
    </xf>
    <xf numFmtId="0" fontId="3" fillId="3" borderId="164" xfId="0" applyFont="1" applyFill="1" applyBorder="1" applyAlignment="1">
      <alignment horizontal="center" vertical="center"/>
    </xf>
    <xf numFmtId="0" fontId="3" fillId="3" borderId="165" xfId="0" applyFont="1" applyFill="1" applyBorder="1" applyAlignment="1">
      <alignment vertical="center"/>
    </xf>
    <xf numFmtId="0" fontId="25" fillId="3" borderId="165" xfId="0" applyFont="1" applyFill="1" applyBorder="1" applyAlignment="1">
      <alignment vertical="center"/>
    </xf>
    <xf numFmtId="0" fontId="3" fillId="3" borderId="166" xfId="0" applyFont="1" applyFill="1" applyBorder="1" applyAlignment="1">
      <alignment vertical="center"/>
    </xf>
    <xf numFmtId="0" fontId="3" fillId="3" borderId="163" xfId="0" applyFont="1" applyFill="1" applyBorder="1" applyAlignment="1">
      <alignment horizontal="center" vertical="center"/>
    </xf>
    <xf numFmtId="5" fontId="3" fillId="3" borderId="167" xfId="0" applyNumberFormat="1" applyFont="1" applyFill="1" applyBorder="1" applyAlignment="1">
      <alignment vertical="center"/>
    </xf>
    <xf numFmtId="5" fontId="3" fillId="3" borderId="168" xfId="0" applyNumberFormat="1" applyFont="1" applyFill="1" applyBorder="1" applyAlignment="1">
      <alignment vertical="center"/>
    </xf>
    <xf numFmtId="6" fontId="3" fillId="3" borderId="166" xfId="0" applyNumberFormat="1" applyFont="1" applyFill="1" applyBorder="1" applyAlignment="1">
      <alignment vertical="center"/>
    </xf>
    <xf numFmtId="5" fontId="3" fillId="3" borderId="166" xfId="0" applyNumberFormat="1" applyFont="1" applyFill="1" applyBorder="1" applyAlignment="1">
      <alignment vertical="center"/>
    </xf>
    <xf numFmtId="0" fontId="25" fillId="0" borderId="165" xfId="0" applyFont="1" applyBorder="1" applyAlignment="1">
      <alignment horizontal="left" vertical="center"/>
    </xf>
    <xf numFmtId="0" fontId="3" fillId="0" borderId="165" xfId="0" applyFont="1" applyBorder="1" applyAlignment="1">
      <alignment horizontal="left" vertical="center"/>
    </xf>
    <xf numFmtId="0" fontId="3" fillId="0" borderId="163" xfId="0" quotePrefix="1" applyFont="1" applyBorder="1" applyAlignment="1">
      <alignment horizontal="center" vertical="center"/>
    </xf>
    <xf numFmtId="0" fontId="3" fillId="3" borderId="155" xfId="0" applyFont="1" applyFill="1" applyBorder="1" applyAlignment="1">
      <alignment horizontal="center" vertical="center"/>
    </xf>
    <xf numFmtId="5" fontId="3" fillId="3" borderId="156" xfId="0" applyNumberFormat="1" applyFont="1" applyFill="1" applyBorder="1" applyAlignment="1">
      <alignment vertical="center"/>
    </xf>
    <xf numFmtId="5" fontId="3" fillId="3" borderId="157" xfId="0" applyNumberFormat="1" applyFont="1" applyFill="1" applyBorder="1" applyAlignment="1">
      <alignment vertical="center"/>
    </xf>
    <xf numFmtId="6" fontId="3" fillId="3" borderId="154" xfId="0" applyNumberFormat="1" applyFont="1" applyFill="1" applyBorder="1" applyAlignment="1">
      <alignment vertical="center"/>
    </xf>
    <xf numFmtId="5" fontId="3" fillId="3" borderId="154" xfId="0" applyNumberFormat="1" applyFont="1" applyFill="1" applyBorder="1" applyAlignment="1">
      <alignment vertical="center"/>
    </xf>
    <xf numFmtId="6" fontId="3" fillId="3" borderId="153" xfId="0" applyNumberFormat="1" applyFont="1" applyFill="1" applyBorder="1" applyAlignment="1">
      <alignment vertical="center"/>
    </xf>
    <xf numFmtId="0" fontId="3" fillId="2" borderId="158" xfId="0" quotePrefix="1" applyFont="1" applyFill="1" applyBorder="1" applyAlignment="1">
      <alignment horizontal="left" vertical="center"/>
    </xf>
    <xf numFmtId="0" fontId="3" fillId="6" borderId="159" xfId="0" applyFont="1" applyFill="1" applyBorder="1" applyAlignment="1">
      <alignment horizontal="center" vertical="center"/>
    </xf>
    <xf numFmtId="0" fontId="3" fillId="9" borderId="159" xfId="0" applyFont="1" applyFill="1" applyBorder="1" applyAlignment="1">
      <alignment horizontal="center" vertical="center"/>
    </xf>
    <xf numFmtId="0" fontId="3" fillId="2" borderId="151" xfId="0" applyFont="1" applyFill="1" applyBorder="1" applyAlignment="1">
      <alignment vertical="center"/>
    </xf>
    <xf numFmtId="164" fontId="3" fillId="2" borderId="151" xfId="1" applyNumberFormat="1" applyFont="1" applyFill="1" applyBorder="1" applyAlignment="1" applyProtection="1">
      <alignment vertical="center"/>
    </xf>
    <xf numFmtId="0" fontId="5" fillId="0" borderId="0" xfId="0" applyFont="1" applyAlignment="1">
      <alignment vertical="center" wrapText="1"/>
    </xf>
    <xf numFmtId="0" fontId="10" fillId="0" borderId="0" xfId="0" quotePrefix="1" applyFont="1" applyAlignment="1">
      <alignment horizontal="center" vertical="center"/>
    </xf>
    <xf numFmtId="0" fontId="9" fillId="6" borderId="0" xfId="0" quotePrefix="1" applyFont="1" applyFill="1" applyAlignment="1">
      <alignment horizontal="right" vertical="center"/>
    </xf>
    <xf numFmtId="0" fontId="9" fillId="6" borderId="0" xfId="0" applyFont="1" applyFill="1" applyAlignment="1">
      <alignment horizontal="right" vertical="center"/>
    </xf>
    <xf numFmtId="0" fontId="17" fillId="0" borderId="0" xfId="0" quotePrefix="1" applyFont="1" applyAlignment="1">
      <alignment horizontal="center" vertical="center"/>
    </xf>
    <xf numFmtId="37" fontId="9" fillId="0" borderId="65" xfId="0" applyNumberFormat="1" applyFont="1" applyBorder="1" applyAlignment="1">
      <alignment vertical="center"/>
    </xf>
    <xf numFmtId="6" fontId="9" fillId="2" borderId="21" xfId="0" applyNumberFormat="1" applyFont="1" applyFill="1" applyBorder="1" applyAlignment="1">
      <alignment vertical="center"/>
    </xf>
    <xf numFmtId="6" fontId="9" fillId="2" borderId="67" xfId="0" applyNumberFormat="1" applyFont="1" applyFill="1" applyBorder="1" applyAlignment="1">
      <alignment vertical="center"/>
    </xf>
    <xf numFmtId="6" fontId="9" fillId="0" borderId="68" xfId="0" applyNumberFormat="1" applyFont="1" applyBorder="1" applyAlignment="1">
      <alignment vertical="center"/>
    </xf>
    <xf numFmtId="6" fontId="9" fillId="3" borderId="88" xfId="0" applyNumberFormat="1" applyFont="1" applyFill="1" applyBorder="1" applyAlignment="1">
      <alignment vertical="center"/>
    </xf>
    <xf numFmtId="6" fontId="9" fillId="6" borderId="120" xfId="0" applyNumberFormat="1" applyFont="1" applyFill="1" applyBorder="1" applyAlignment="1">
      <alignment vertical="center"/>
    </xf>
    <xf numFmtId="6" fontId="9" fillId="6" borderId="121" xfId="0" applyNumberFormat="1" applyFont="1" applyFill="1" applyBorder="1" applyAlignment="1">
      <alignment vertical="center"/>
    </xf>
    <xf numFmtId="6" fontId="9" fillId="6" borderId="111" xfId="0" applyNumberFormat="1" applyFont="1" applyFill="1" applyBorder="1" applyAlignment="1">
      <alignment vertical="center"/>
    </xf>
    <xf numFmtId="6" fontId="9" fillId="2" borderId="48" xfId="0" applyNumberFormat="1" applyFont="1" applyFill="1" applyBorder="1" applyAlignment="1">
      <alignment vertical="center"/>
    </xf>
    <xf numFmtId="6" fontId="9" fillId="3" borderId="43" xfId="0" applyNumberFormat="1" applyFont="1" applyFill="1" applyBorder="1" applyAlignment="1">
      <alignment vertical="center"/>
    </xf>
    <xf numFmtId="6" fontId="9" fillId="6" borderId="46" xfId="0" applyNumberFormat="1" applyFont="1" applyFill="1" applyBorder="1" applyAlignment="1">
      <alignment vertical="center"/>
    </xf>
    <xf numFmtId="6" fontId="9" fillId="6" borderId="44" xfId="0" applyNumberFormat="1" applyFont="1" applyFill="1" applyBorder="1" applyAlignment="1">
      <alignment vertical="center"/>
    </xf>
    <xf numFmtId="6" fontId="10" fillId="2" borderId="55" xfId="0" applyNumberFormat="1" applyFont="1" applyFill="1" applyBorder="1" applyAlignment="1">
      <alignment vertical="center"/>
    </xf>
    <xf numFmtId="5" fontId="9" fillId="0" borderId="77" xfId="0" applyNumberFormat="1" applyFont="1" applyBorder="1" applyAlignment="1">
      <alignment vertical="center"/>
    </xf>
    <xf numFmtId="0" fontId="9" fillId="0" borderId="57" xfId="0" quotePrefix="1" applyFont="1" applyBorder="1" applyAlignment="1">
      <alignment horizontal="center" vertical="center"/>
    </xf>
    <xf numFmtId="6" fontId="10" fillId="2" borderId="49" xfId="0" applyNumberFormat="1" applyFont="1" applyFill="1" applyBorder="1" applyAlignment="1">
      <alignment vertical="center"/>
    </xf>
    <xf numFmtId="6" fontId="10" fillId="2" borderId="48" xfId="0" applyNumberFormat="1" applyFont="1" applyFill="1" applyBorder="1" applyAlignment="1">
      <alignment vertical="center"/>
    </xf>
    <xf numFmtId="164" fontId="10" fillId="2" borderId="48" xfId="1" applyNumberFormat="1" applyFont="1" applyFill="1" applyBorder="1" applyAlignment="1" applyProtection="1">
      <alignment horizontal="center" vertical="center"/>
    </xf>
    <xf numFmtId="0" fontId="3" fillId="0" borderId="7" xfId="0" applyFont="1" applyBorder="1" applyAlignment="1">
      <alignment horizontal="center" vertical="center"/>
    </xf>
    <xf numFmtId="0" fontId="3" fillId="3" borderId="59" xfId="0" applyFont="1" applyFill="1" applyBorder="1" applyAlignment="1">
      <alignment horizontal="center" vertical="center"/>
    </xf>
    <xf numFmtId="0" fontId="3" fillId="0" borderId="8" xfId="0" applyFont="1" applyBorder="1" applyAlignment="1">
      <alignment horizontal="center" vertical="center"/>
    </xf>
    <xf numFmtId="0" fontId="3" fillId="2" borderId="8" xfId="0" applyFont="1" applyFill="1" applyBorder="1" applyAlignment="1">
      <alignment horizontal="center" vertical="center"/>
    </xf>
    <xf numFmtId="0" fontId="3" fillId="3" borderId="60" xfId="0" applyFont="1" applyFill="1" applyBorder="1" applyAlignment="1">
      <alignment horizontal="center" vertical="center"/>
    </xf>
    <xf numFmtId="0" fontId="3" fillId="0" borderId="9" xfId="0" applyFont="1" applyBorder="1" applyAlignment="1">
      <alignment horizontal="center" vertical="center"/>
    </xf>
    <xf numFmtId="0" fontId="3" fillId="2" borderId="9" xfId="0" applyFont="1" applyFill="1" applyBorder="1" applyAlignment="1">
      <alignment horizontal="center" vertical="center"/>
    </xf>
    <xf numFmtId="0" fontId="3" fillId="2" borderId="52" xfId="0" applyFont="1" applyFill="1" applyBorder="1" applyAlignment="1">
      <alignment horizontal="center" vertical="center"/>
    </xf>
    <xf numFmtId="0" fontId="3" fillId="0" borderId="74" xfId="0" applyFont="1" applyBorder="1" applyAlignment="1">
      <alignment horizontal="center" vertical="center"/>
    </xf>
    <xf numFmtId="0" fontId="3" fillId="3" borderId="61" xfId="0" applyFont="1" applyFill="1" applyBorder="1" applyAlignment="1">
      <alignment horizontal="center" vertical="center"/>
    </xf>
    <xf numFmtId="0" fontId="3" fillId="3" borderId="78" xfId="0" applyFont="1" applyFill="1" applyBorder="1" applyAlignment="1">
      <alignment horizontal="center" vertical="center"/>
    </xf>
    <xf numFmtId="0" fontId="3" fillId="0" borderId="61" xfId="0" applyFont="1" applyBorder="1" applyAlignment="1">
      <alignment horizontal="center" vertical="center"/>
    </xf>
    <xf numFmtId="0" fontId="3" fillId="6" borderId="108" xfId="0" applyFont="1" applyFill="1" applyBorder="1" applyAlignment="1">
      <alignment horizontal="center" vertical="center"/>
    </xf>
    <xf numFmtId="0" fontId="3" fillId="9" borderId="9" xfId="0" applyFont="1" applyFill="1" applyBorder="1" applyAlignment="1">
      <alignment horizontal="center" vertical="center"/>
    </xf>
    <xf numFmtId="0" fontId="3" fillId="0" borderId="53" xfId="0" applyFont="1" applyBorder="1" applyAlignment="1">
      <alignment horizontal="center" vertical="center"/>
    </xf>
    <xf numFmtId="0" fontId="9" fillId="0" borderId="54" xfId="0" applyFont="1" applyBorder="1" applyAlignment="1">
      <alignment vertical="center"/>
    </xf>
    <xf numFmtId="0" fontId="9" fillId="0" borderId="47" xfId="0" applyFont="1" applyBorder="1" applyAlignment="1">
      <alignment vertical="center"/>
    </xf>
    <xf numFmtId="0" fontId="9" fillId="0" borderId="48" xfId="0" applyFont="1" applyBorder="1" applyAlignment="1">
      <alignment horizontal="left" vertical="center"/>
    </xf>
    <xf numFmtId="6" fontId="9" fillId="0" borderId="55" xfId="0" applyNumberFormat="1" applyFont="1" applyBorder="1" applyAlignment="1">
      <alignment vertical="center"/>
    </xf>
    <xf numFmtId="6" fontId="9" fillId="0" borderId="56" xfId="0" applyNumberFormat="1" applyFont="1" applyBorder="1" applyAlignment="1">
      <alignment vertical="center"/>
    </xf>
    <xf numFmtId="6" fontId="9" fillId="0" borderId="69" xfId="0" applyNumberFormat="1" applyFont="1" applyBorder="1" applyAlignment="1">
      <alignment vertical="center"/>
    </xf>
    <xf numFmtId="6" fontId="9" fillId="0" borderId="48" xfId="0" applyNumberFormat="1" applyFont="1" applyBorder="1" applyAlignment="1">
      <alignment vertical="center"/>
    </xf>
    <xf numFmtId="164" fontId="9" fillId="0" borderId="48" xfId="1" applyNumberFormat="1" applyFont="1" applyFill="1" applyBorder="1" applyAlignment="1" applyProtection="1">
      <alignment horizontal="center" vertical="center"/>
    </xf>
    <xf numFmtId="6" fontId="3" fillId="0" borderId="162" xfId="0" applyNumberFormat="1" applyFont="1" applyBorder="1" applyAlignment="1" applyProtection="1">
      <alignment vertical="center"/>
      <protection locked="0"/>
    </xf>
    <xf numFmtId="6" fontId="3" fillId="0" borderId="158" xfId="0" applyNumberFormat="1" applyFont="1" applyBorder="1" applyAlignment="1" applyProtection="1">
      <alignment vertical="center"/>
      <protection locked="0"/>
    </xf>
    <xf numFmtId="0" fontId="3" fillId="0" borderId="158" xfId="0" applyFont="1" applyBorder="1" applyAlignment="1" applyProtection="1">
      <alignment vertical="center"/>
      <protection locked="0"/>
    </xf>
    <xf numFmtId="0" fontId="3" fillId="0" borderId="151" xfId="0" applyFont="1" applyBorder="1" applyAlignment="1" applyProtection="1">
      <alignment horizontal="center" vertical="center"/>
      <protection locked="0"/>
    </xf>
    <xf numFmtId="0" fontId="3" fillId="0" borderId="160" xfId="0" applyFont="1" applyBorder="1" applyAlignment="1" applyProtection="1">
      <alignment vertical="center"/>
      <protection locked="0"/>
    </xf>
    <xf numFmtId="0" fontId="3" fillId="0" borderId="151" xfId="0" applyFont="1" applyBorder="1" applyAlignment="1" applyProtection="1">
      <alignment horizontal="left" vertical="center"/>
      <protection locked="0"/>
    </xf>
    <xf numFmtId="5" fontId="3" fillId="0" borderId="162" xfId="0" applyNumberFormat="1" applyFont="1" applyBorder="1" applyAlignment="1" applyProtection="1">
      <alignment vertical="center"/>
      <protection locked="0"/>
    </xf>
    <xf numFmtId="5" fontId="3" fillId="0" borderId="158" xfId="0" applyNumberFormat="1" applyFont="1" applyBorder="1" applyAlignment="1" applyProtection="1">
      <alignment vertical="center"/>
      <protection locked="0"/>
    </xf>
    <xf numFmtId="5" fontId="3" fillId="0" borderId="168" xfId="0" applyNumberFormat="1" applyFont="1" applyBorder="1" applyAlignment="1" applyProtection="1">
      <alignment vertical="center"/>
      <protection locked="0"/>
    </xf>
    <xf numFmtId="6" fontId="3" fillId="0" borderId="166" xfId="0" applyNumberFormat="1" applyFont="1" applyBorder="1" applyAlignment="1" applyProtection="1">
      <alignment vertical="center"/>
      <protection locked="0"/>
    </xf>
    <xf numFmtId="5" fontId="3" fillId="0" borderId="166" xfId="0" applyNumberFormat="1" applyFont="1" applyBorder="1" applyAlignment="1" applyProtection="1">
      <alignment vertical="center"/>
      <protection locked="0"/>
    </xf>
    <xf numFmtId="0" fontId="3" fillId="0" borderId="160" xfId="0" applyFont="1" applyBorder="1" applyAlignment="1" applyProtection="1">
      <alignment horizontal="left" vertical="center"/>
      <protection locked="0"/>
    </xf>
    <xf numFmtId="0" fontId="9" fillId="0" borderId="0" xfId="0" applyFont="1" applyAlignment="1" applyProtection="1">
      <alignment horizontal="right" vertical="center"/>
      <protection locked="0"/>
    </xf>
    <xf numFmtId="0" fontId="3" fillId="0" borderId="155" xfId="0" applyFont="1" applyBorder="1" applyAlignment="1" applyProtection="1">
      <alignment vertical="center"/>
      <protection locked="0"/>
    </xf>
    <xf numFmtId="8" fontId="3" fillId="3" borderId="151" xfId="0" applyNumberFormat="1" applyFont="1" applyFill="1" applyBorder="1" applyAlignment="1" applyProtection="1">
      <alignment horizontal="left" vertical="center"/>
      <protection locked="0"/>
    </xf>
    <xf numFmtId="164" fontId="3" fillId="0" borderId="151" xfId="1" applyNumberFormat="1" applyFont="1" applyBorder="1" applyAlignment="1" applyProtection="1">
      <alignment horizontal="left" vertical="center"/>
      <protection locked="0"/>
    </xf>
    <xf numFmtId="164" fontId="3" fillId="2" borderId="151" xfId="1" applyNumberFormat="1" applyFont="1" applyFill="1" applyBorder="1" applyAlignment="1" applyProtection="1">
      <alignment horizontal="left" vertical="center"/>
      <protection locked="0"/>
    </xf>
    <xf numFmtId="6" fontId="3" fillId="0" borderId="151" xfId="0" applyNumberFormat="1" applyFont="1" applyBorder="1" applyAlignment="1" applyProtection="1">
      <alignment horizontal="left" vertical="center"/>
      <protection locked="0"/>
    </xf>
    <xf numFmtId="6" fontId="3" fillId="3" borderId="151" xfId="0" applyNumberFormat="1" applyFont="1" applyFill="1" applyBorder="1" applyAlignment="1" applyProtection="1">
      <alignment horizontal="left" vertical="center"/>
      <protection locked="0"/>
    </xf>
    <xf numFmtId="164" fontId="3" fillId="0" borderId="130" xfId="1" applyNumberFormat="1" applyFont="1" applyFill="1" applyBorder="1" applyAlignment="1" applyProtection="1">
      <alignment horizontal="center" vertical="center"/>
      <protection locked="0"/>
    </xf>
    <xf numFmtId="164" fontId="3" fillId="3" borderId="155" xfId="1" applyNumberFormat="1" applyFont="1" applyFill="1" applyBorder="1" applyAlignment="1" applyProtection="1">
      <alignment horizontal="center" vertical="center"/>
      <protection locked="0"/>
    </xf>
    <xf numFmtId="164" fontId="3" fillId="3" borderId="151" xfId="1" applyNumberFormat="1" applyFont="1" applyFill="1" applyBorder="1" applyAlignment="1" applyProtection="1">
      <alignment horizontal="center" vertical="center"/>
      <protection locked="0"/>
    </xf>
    <xf numFmtId="164" fontId="3" fillId="3" borderId="151" xfId="1" applyNumberFormat="1" applyFont="1" applyFill="1" applyBorder="1" applyAlignment="1" applyProtection="1">
      <alignment horizontal="left" vertical="center"/>
      <protection locked="0"/>
    </xf>
    <xf numFmtId="164" fontId="3" fillId="2" borderId="130" xfId="1" applyNumberFormat="1" applyFont="1" applyFill="1" applyBorder="1" applyAlignment="1" applyProtection="1">
      <alignment horizontal="left" vertical="center"/>
      <protection locked="0"/>
    </xf>
    <xf numFmtId="164" fontId="3" fillId="0" borderId="155" xfId="1" applyNumberFormat="1" applyFont="1" applyBorder="1" applyAlignment="1" applyProtection="1">
      <alignment horizontal="left" vertical="center"/>
      <protection locked="0"/>
    </xf>
    <xf numFmtId="164" fontId="3" fillId="0" borderId="163" xfId="1" applyNumberFormat="1" applyFont="1" applyBorder="1" applyAlignment="1" applyProtection="1">
      <alignment horizontal="left" vertical="center"/>
      <protection locked="0"/>
    </xf>
    <xf numFmtId="164" fontId="3" fillId="2" borderId="163" xfId="1" applyNumberFormat="1" applyFont="1" applyFill="1" applyBorder="1" applyAlignment="1" applyProtection="1">
      <alignment horizontal="left" vertical="center"/>
      <protection locked="0"/>
    </xf>
    <xf numFmtId="164" fontId="3" fillId="3" borderId="163" xfId="1" applyNumberFormat="1" applyFont="1" applyFill="1" applyBorder="1" applyAlignment="1" applyProtection="1">
      <alignment horizontal="left" vertical="center"/>
      <protection locked="0"/>
    </xf>
    <xf numFmtId="164" fontId="3" fillId="3" borderId="155" xfId="1" applyNumberFormat="1" applyFont="1" applyFill="1" applyBorder="1" applyAlignment="1" applyProtection="1">
      <alignment horizontal="left" vertical="center"/>
      <protection locked="0"/>
    </xf>
    <xf numFmtId="0" fontId="3" fillId="2" borderId="151" xfId="0" applyFont="1" applyFill="1" applyBorder="1" applyAlignment="1" applyProtection="1">
      <alignment vertical="center"/>
      <protection locked="0"/>
    </xf>
    <xf numFmtId="0" fontId="4" fillId="0" borderId="122" xfId="0" applyFont="1" applyBorder="1" applyProtection="1">
      <protection locked="0"/>
    </xf>
    <xf numFmtId="0" fontId="9" fillId="0" borderId="58" xfId="0" applyFont="1" applyBorder="1" applyAlignment="1" applyProtection="1">
      <alignment vertical="center"/>
      <protection locked="0"/>
    </xf>
    <xf numFmtId="8" fontId="9" fillId="3" borderId="42" xfId="0" applyNumberFormat="1" applyFont="1" applyFill="1" applyBorder="1" applyAlignment="1" applyProtection="1">
      <alignment horizontal="left" vertical="center"/>
      <protection locked="0"/>
    </xf>
    <xf numFmtId="164" fontId="9" fillId="0" borderId="33" xfId="1" applyNumberFormat="1" applyFont="1" applyBorder="1" applyAlignment="1" applyProtection="1">
      <alignment horizontal="left" vertical="center"/>
      <protection locked="0"/>
    </xf>
    <xf numFmtId="164" fontId="9" fillId="0" borderId="16" xfId="1" applyNumberFormat="1" applyFont="1" applyBorder="1" applyAlignment="1" applyProtection="1">
      <alignment horizontal="left" vertical="center"/>
      <protection locked="0"/>
    </xf>
    <xf numFmtId="164" fontId="9" fillId="0" borderId="117" xfId="1" applyNumberFormat="1" applyFont="1" applyBorder="1" applyAlignment="1" applyProtection="1">
      <alignment horizontal="left" vertical="center"/>
      <protection locked="0"/>
    </xf>
    <xf numFmtId="164" fontId="9" fillId="0" borderId="119" xfId="1" applyNumberFormat="1" applyFont="1" applyBorder="1" applyAlignment="1" applyProtection="1">
      <alignment horizontal="left" vertical="center"/>
      <protection locked="0"/>
    </xf>
    <xf numFmtId="164" fontId="9" fillId="0" borderId="118" xfId="1" applyNumberFormat="1" applyFont="1" applyBorder="1" applyAlignment="1" applyProtection="1">
      <alignment horizontal="left" vertical="center"/>
      <protection locked="0"/>
    </xf>
    <xf numFmtId="164" fontId="9" fillId="2" borderId="16" xfId="1" applyNumberFormat="1" applyFont="1" applyFill="1" applyBorder="1" applyAlignment="1" applyProtection="1">
      <alignment horizontal="left" vertical="center"/>
      <protection locked="0"/>
    </xf>
    <xf numFmtId="6" fontId="9" fillId="0" borderId="40" xfId="0" applyNumberFormat="1" applyFont="1" applyBorder="1" applyAlignment="1" applyProtection="1">
      <alignment horizontal="left" vertical="center"/>
      <protection locked="0"/>
    </xf>
    <xf numFmtId="6" fontId="9" fillId="3" borderId="42" xfId="0" applyNumberFormat="1" applyFont="1" applyFill="1" applyBorder="1" applyAlignment="1" applyProtection="1">
      <alignment horizontal="left" vertical="center"/>
      <protection locked="0"/>
    </xf>
    <xf numFmtId="6" fontId="9" fillId="3" borderId="33" xfId="0" applyNumberFormat="1" applyFont="1" applyFill="1" applyBorder="1" applyAlignment="1" applyProtection="1">
      <alignment horizontal="left" vertical="center"/>
      <protection locked="0"/>
    </xf>
    <xf numFmtId="6" fontId="9" fillId="3" borderId="16" xfId="0" applyNumberFormat="1" applyFont="1" applyFill="1" applyBorder="1" applyAlignment="1" applyProtection="1">
      <alignment horizontal="left" vertical="center"/>
      <protection locked="0"/>
    </xf>
    <xf numFmtId="164" fontId="9" fillId="0" borderId="51" xfId="1" applyNumberFormat="1" applyFont="1" applyFill="1" applyBorder="1" applyAlignment="1" applyProtection="1">
      <alignment horizontal="left" vertical="center"/>
      <protection locked="0"/>
    </xf>
    <xf numFmtId="164" fontId="9" fillId="3" borderId="42" xfId="1" applyNumberFormat="1" applyFont="1" applyFill="1" applyBorder="1" applyAlignment="1" applyProtection="1">
      <alignment horizontal="center" vertical="center"/>
      <protection locked="0"/>
    </xf>
    <xf numFmtId="164" fontId="9" fillId="3" borderId="33" xfId="1" applyNumberFormat="1" applyFont="1" applyFill="1" applyBorder="1" applyAlignment="1" applyProtection="1">
      <alignment horizontal="center" vertical="center"/>
      <protection locked="0"/>
    </xf>
    <xf numFmtId="164" fontId="9" fillId="3" borderId="16" xfId="1" applyNumberFormat="1" applyFont="1" applyFill="1" applyBorder="1" applyAlignment="1" applyProtection="1">
      <alignment horizontal="left" vertical="center"/>
      <protection locked="0"/>
    </xf>
    <xf numFmtId="164" fontId="9" fillId="3" borderId="73" xfId="1" applyNumberFormat="1" applyFont="1" applyFill="1" applyBorder="1" applyAlignment="1" applyProtection="1">
      <alignment horizontal="left" vertical="center"/>
      <protection locked="0"/>
    </xf>
    <xf numFmtId="164" fontId="9" fillId="3" borderId="33" xfId="1" applyNumberFormat="1" applyFont="1" applyFill="1" applyBorder="1" applyAlignment="1" applyProtection="1">
      <alignment horizontal="left" vertical="center"/>
      <protection locked="0"/>
    </xf>
    <xf numFmtId="164" fontId="9" fillId="2" borderId="51" xfId="1" applyNumberFormat="1" applyFont="1" applyFill="1" applyBorder="1" applyAlignment="1" applyProtection="1">
      <alignment horizontal="left" vertical="center"/>
      <protection locked="0"/>
    </xf>
    <xf numFmtId="164" fontId="9" fillId="0" borderId="58" xfId="1" applyNumberFormat="1" applyFont="1" applyBorder="1" applyAlignment="1" applyProtection="1">
      <alignment horizontal="left" vertical="center"/>
      <protection locked="0"/>
    </xf>
    <xf numFmtId="164" fontId="9" fillId="3" borderId="42" xfId="1" applyNumberFormat="1" applyFont="1" applyFill="1" applyBorder="1" applyAlignment="1" applyProtection="1">
      <alignment horizontal="left" vertical="center"/>
      <protection locked="0"/>
    </xf>
    <xf numFmtId="0" fontId="9" fillId="2" borderId="6" xfId="0" applyFont="1" applyFill="1" applyBorder="1" applyAlignment="1" applyProtection="1">
      <alignment vertical="center"/>
      <protection locked="0"/>
    </xf>
    <xf numFmtId="6" fontId="10" fillId="0" borderId="85" xfId="0" applyNumberFormat="1" applyFont="1" applyBorder="1" applyAlignment="1" applyProtection="1">
      <alignment vertical="center"/>
      <protection locked="0"/>
    </xf>
    <xf numFmtId="0" fontId="9" fillId="0" borderId="6" xfId="0" applyFont="1" applyBorder="1" applyAlignment="1" applyProtection="1">
      <alignment vertical="center"/>
      <protection locked="0"/>
    </xf>
    <xf numFmtId="0" fontId="9" fillId="0" borderId="6" xfId="0" applyFont="1" applyBorder="1" applyAlignment="1" applyProtection="1">
      <alignment horizontal="left" vertical="center"/>
      <protection locked="0"/>
    </xf>
    <xf numFmtId="0" fontId="9" fillId="0" borderId="17" xfId="0" applyFont="1" applyBorder="1" applyAlignment="1" applyProtection="1">
      <alignment horizontal="center" vertical="center"/>
      <protection locked="0"/>
    </xf>
    <xf numFmtId="6" fontId="9" fillId="0" borderId="21" xfId="0" applyNumberFormat="1" applyFont="1" applyBorder="1" applyAlignment="1" applyProtection="1">
      <alignment vertical="center"/>
      <protection locked="0"/>
    </xf>
    <xf numFmtId="6" fontId="9" fillId="0" borderId="20" xfId="0" applyNumberFormat="1" applyFont="1" applyBorder="1" applyAlignment="1" applyProtection="1">
      <alignment vertical="center"/>
      <protection locked="0"/>
    </xf>
    <xf numFmtId="0" fontId="9" fillId="0" borderId="17" xfId="0" applyFont="1" applyBorder="1" applyAlignment="1" applyProtection="1">
      <alignment horizontal="left" vertical="center"/>
      <protection locked="0"/>
    </xf>
    <xf numFmtId="0" fontId="13" fillId="0" borderId="6" xfId="0" applyFont="1" applyBorder="1" applyAlignment="1" applyProtection="1">
      <alignment vertical="center"/>
      <protection locked="0"/>
    </xf>
    <xf numFmtId="0" fontId="13" fillId="0" borderId="17" xfId="0" applyFont="1" applyBorder="1" applyAlignment="1" applyProtection="1">
      <alignment horizontal="center" vertical="center"/>
      <protection locked="0"/>
    </xf>
    <xf numFmtId="6" fontId="13" fillId="0" borderId="21" xfId="0" applyNumberFormat="1" applyFont="1" applyBorder="1" applyAlignment="1" applyProtection="1">
      <alignment vertical="center"/>
      <protection locked="0"/>
    </xf>
    <xf numFmtId="6" fontId="13" fillId="0" borderId="20" xfId="0" applyNumberFormat="1" applyFont="1" applyBorder="1" applyAlignment="1" applyProtection="1">
      <alignment vertical="center"/>
      <protection locked="0"/>
    </xf>
    <xf numFmtId="0" fontId="9" fillId="0" borderId="5" xfId="0" applyFont="1" applyBorder="1" applyAlignment="1" applyProtection="1">
      <alignment vertical="center"/>
      <protection locked="0"/>
    </xf>
    <xf numFmtId="6" fontId="9" fillId="0" borderId="30" xfId="0" applyNumberFormat="1" applyFont="1" applyBorder="1" applyAlignment="1" applyProtection="1">
      <alignment vertical="center"/>
      <protection locked="0"/>
    </xf>
    <xf numFmtId="6" fontId="9" fillId="0" borderId="67" xfId="0" applyNumberFormat="1" applyFont="1" applyBorder="1" applyAlignment="1" applyProtection="1">
      <alignment vertical="center"/>
      <protection locked="0"/>
    </xf>
    <xf numFmtId="0" fontId="13" fillId="0" borderId="5" xfId="0" applyFont="1" applyBorder="1" applyAlignment="1" applyProtection="1">
      <alignment vertical="center"/>
      <protection locked="0"/>
    </xf>
    <xf numFmtId="0" fontId="13" fillId="0" borderId="17" xfId="0" applyFont="1" applyBorder="1" applyAlignment="1" applyProtection="1">
      <alignment horizontal="left" vertical="center"/>
      <protection locked="0"/>
    </xf>
    <xf numFmtId="6" fontId="13" fillId="0" borderId="67" xfId="0" applyNumberFormat="1" applyFont="1" applyBorder="1" applyAlignment="1" applyProtection="1">
      <alignment vertical="center"/>
      <protection locked="0"/>
    </xf>
    <xf numFmtId="6" fontId="9" fillId="0" borderId="31" xfId="0" applyNumberFormat="1" applyFont="1" applyBorder="1" applyAlignment="1" applyProtection="1">
      <alignment vertical="center"/>
      <protection locked="0"/>
    </xf>
    <xf numFmtId="6" fontId="9" fillId="0" borderId="66" xfId="0" applyNumberFormat="1" applyFont="1" applyBorder="1" applyAlignment="1" applyProtection="1">
      <alignment vertical="center"/>
      <protection locked="0"/>
    </xf>
    <xf numFmtId="0" fontId="7" fillId="0" borderId="99" xfId="0" applyFont="1" applyBorder="1" applyAlignment="1" applyProtection="1">
      <alignment horizontal="center" vertical="center"/>
      <protection locked="0"/>
    </xf>
    <xf numFmtId="16" fontId="0" fillId="0" borderId="0" xfId="0" quotePrefix="1" applyNumberFormat="1" applyAlignment="1">
      <alignment vertical="center"/>
    </xf>
    <xf numFmtId="0" fontId="0" fillId="0" borderId="0" xfId="0" quotePrefix="1" applyAlignment="1">
      <alignment vertical="center"/>
    </xf>
    <xf numFmtId="0" fontId="0" fillId="0" borderId="0" xfId="0" applyAlignment="1">
      <alignment horizontal="left" vertical="center" wrapText="1" indent="2"/>
    </xf>
    <xf numFmtId="0" fontId="26" fillId="0" borderId="0" xfId="0" applyFont="1" applyAlignment="1">
      <alignment horizontal="center" vertical="center"/>
    </xf>
    <xf numFmtId="0" fontId="16" fillId="0" borderId="0" xfId="0" applyFont="1" applyAlignment="1">
      <alignment vertical="center"/>
    </xf>
    <xf numFmtId="165" fontId="28" fillId="17" borderId="0" xfId="0" applyNumberFormat="1" applyFont="1" applyFill="1"/>
    <xf numFmtId="165" fontId="28" fillId="17" borderId="0" xfId="2" applyNumberFormat="1" applyFont="1" applyFill="1"/>
    <xf numFmtId="165" fontId="29" fillId="0" borderId="0" xfId="0" applyNumberFormat="1" applyFont="1"/>
    <xf numFmtId="165" fontId="29" fillId="0" borderId="0" xfId="2" applyNumberFormat="1" applyFont="1"/>
    <xf numFmtId="165" fontId="30" fillId="0" borderId="169" xfId="0" applyNumberFormat="1" applyFont="1" applyBorder="1"/>
    <xf numFmtId="165" fontId="30" fillId="0" borderId="169" xfId="2" applyNumberFormat="1" applyFont="1" applyBorder="1"/>
    <xf numFmtId="165" fontId="0" fillId="0" borderId="0" xfId="0" applyNumberFormat="1"/>
    <xf numFmtId="165" fontId="0" fillId="0" borderId="0" xfId="2" applyNumberFormat="1" applyFont="1"/>
    <xf numFmtId="0" fontId="0" fillId="18" borderId="0" xfId="0" applyFill="1"/>
    <xf numFmtId="165" fontId="29" fillId="0" borderId="171" xfId="2" applyNumberFormat="1" applyFont="1" applyBorder="1"/>
    <xf numFmtId="165" fontId="29" fillId="0" borderId="171" xfId="0" applyNumberFormat="1" applyFont="1" applyBorder="1"/>
    <xf numFmtId="165" fontId="0" fillId="18" borderId="0" xfId="0" applyNumberFormat="1" applyFill="1"/>
    <xf numFmtId="4" fontId="0" fillId="0" borderId="0" xfId="0" applyNumberFormat="1"/>
    <xf numFmtId="6" fontId="10" fillId="18" borderId="86" xfId="0" applyNumberFormat="1" applyFont="1" applyFill="1" applyBorder="1" applyAlignment="1" applyProtection="1">
      <alignment vertical="center"/>
      <protection locked="0"/>
    </xf>
    <xf numFmtId="165" fontId="0" fillId="0" borderId="172" xfId="0" applyNumberFormat="1" applyBorder="1"/>
    <xf numFmtId="6" fontId="0" fillId="0" borderId="173" xfId="0" applyNumberFormat="1" applyBorder="1"/>
    <xf numFmtId="0" fontId="0" fillId="0" borderId="174" xfId="0" applyBorder="1"/>
    <xf numFmtId="0" fontId="0" fillId="0" borderId="175" xfId="0" applyBorder="1"/>
    <xf numFmtId="165" fontId="0" fillId="0" borderId="176" xfId="2" applyNumberFormat="1" applyFont="1" applyBorder="1"/>
    <xf numFmtId="6" fontId="0" fillId="0" borderId="177" xfId="0" applyNumberFormat="1" applyBorder="1"/>
    <xf numFmtId="165" fontId="0" fillId="0" borderId="178" xfId="0" applyNumberFormat="1" applyBorder="1"/>
    <xf numFmtId="6" fontId="0" fillId="0" borderId="179" xfId="0" applyNumberFormat="1" applyBorder="1"/>
    <xf numFmtId="165" fontId="29" fillId="0" borderId="171" xfId="3" applyNumberFormat="1" applyFont="1" applyBorder="1"/>
    <xf numFmtId="165" fontId="30" fillId="0" borderId="169" xfId="3" applyNumberFormat="1" applyFont="1" applyBorder="1"/>
    <xf numFmtId="165" fontId="30" fillId="0" borderId="0" xfId="0" applyNumberFormat="1" applyFont="1"/>
    <xf numFmtId="165" fontId="30" fillId="0" borderId="0" xfId="2" applyNumberFormat="1" applyFont="1" applyBorder="1"/>
    <xf numFmtId="41" fontId="0" fillId="0" borderId="0" xfId="0" applyNumberFormat="1"/>
    <xf numFmtId="168" fontId="0" fillId="0" borderId="0" xfId="0" applyNumberFormat="1"/>
    <xf numFmtId="0" fontId="35" fillId="19" borderId="0" xfId="4" applyFont="1" applyFill="1" applyAlignment="1">
      <alignment horizontal="center"/>
    </xf>
    <xf numFmtId="0" fontId="36" fillId="0" borderId="183" xfId="0" applyFont="1" applyBorder="1"/>
    <xf numFmtId="0" fontId="38" fillId="0" borderId="184" xfId="0" applyFont="1" applyBorder="1"/>
    <xf numFmtId="0" fontId="40" fillId="0" borderId="190" xfId="0" applyFont="1" applyBorder="1" applyAlignment="1">
      <alignment horizontal="center"/>
    </xf>
    <xf numFmtId="0" fontId="40" fillId="0" borderId="191" xfId="0" applyFont="1" applyBorder="1" applyAlignment="1">
      <alignment horizontal="center"/>
    </xf>
    <xf numFmtId="0" fontId="40" fillId="0" borderId="192" xfId="0" quotePrefix="1" applyFont="1" applyBorder="1" applyAlignment="1">
      <alignment horizontal="center"/>
    </xf>
    <xf numFmtId="0" fontId="39" fillId="0" borderId="0" xfId="4" applyFont="1" applyAlignment="1">
      <alignment horizontal="center" wrapText="1"/>
    </xf>
    <xf numFmtId="0" fontId="40" fillId="23" borderId="199" xfId="0" applyFont="1" applyFill="1" applyBorder="1" applyAlignment="1">
      <alignment horizontal="center"/>
    </xf>
    <xf numFmtId="0" fontId="39" fillId="0" borderId="0" xfId="4" applyFont="1" applyAlignment="1">
      <alignment wrapText="1"/>
    </xf>
    <xf numFmtId="0" fontId="41" fillId="0" borderId="200" xfId="0" quotePrefix="1" applyFont="1" applyBorder="1" applyAlignment="1">
      <alignment horizontal="center"/>
    </xf>
    <xf numFmtId="0" fontId="40" fillId="0" borderId="199" xfId="0" applyFont="1" applyBorder="1" applyAlignment="1">
      <alignment horizontal="center"/>
    </xf>
    <xf numFmtId="0" fontId="40" fillId="0" borderId="200" xfId="0" quotePrefix="1" applyFont="1" applyBorder="1" applyAlignment="1">
      <alignment horizontal="center"/>
    </xf>
    <xf numFmtId="0" fontId="40" fillId="10" borderId="199" xfId="0" applyFont="1" applyFill="1" applyBorder="1" applyAlignment="1">
      <alignment horizontal="center"/>
    </xf>
    <xf numFmtId="165" fontId="34" fillId="0" borderId="0" xfId="2" applyNumberFormat="1" applyFont="1" applyBorder="1"/>
    <xf numFmtId="9" fontId="34" fillId="0" borderId="0" xfId="1" applyFont="1" applyBorder="1"/>
    <xf numFmtId="0" fontId="34" fillId="0" borderId="0" xfId="4"/>
    <xf numFmtId="165" fontId="34" fillId="0" borderId="0" xfId="4" applyNumberFormat="1"/>
    <xf numFmtId="165" fontId="34" fillId="0" borderId="175" xfId="4" applyNumberFormat="1" applyBorder="1"/>
    <xf numFmtId="0" fontId="4" fillId="0" borderId="103" xfId="5" applyFont="1" applyBorder="1" applyAlignment="1">
      <alignment horizontal="center"/>
    </xf>
    <xf numFmtId="0" fontId="34" fillId="0" borderId="174" xfId="4" applyBorder="1"/>
    <xf numFmtId="165" fontId="34" fillId="24" borderId="0" xfId="4" applyNumberFormat="1" applyFill="1"/>
    <xf numFmtId="0" fontId="34" fillId="0" borderId="176" xfId="4" applyBorder="1"/>
    <xf numFmtId="0" fontId="34" fillId="0" borderId="201" xfId="4" applyBorder="1"/>
    <xf numFmtId="0" fontId="42" fillId="0" borderId="201" xfId="4" applyFont="1" applyBorder="1"/>
    <xf numFmtId="165" fontId="42" fillId="0" borderId="201" xfId="4" applyNumberFormat="1" applyFont="1" applyBorder="1"/>
    <xf numFmtId="0" fontId="42" fillId="0" borderId="177" xfId="4" applyFont="1" applyBorder="1"/>
    <xf numFmtId="0" fontId="0" fillId="0" borderId="172" xfId="0" applyBorder="1"/>
    <xf numFmtId="6" fontId="0" fillId="0" borderId="185" xfId="0" applyNumberFormat="1" applyBorder="1"/>
    <xf numFmtId="0" fontId="43" fillId="24" borderId="174" xfId="4" applyFont="1" applyFill="1" applyBorder="1"/>
    <xf numFmtId="0" fontId="43" fillId="24" borderId="176" xfId="4" applyFont="1" applyFill="1" applyBorder="1"/>
    <xf numFmtId="6" fontId="0" fillId="0" borderId="201" xfId="0" applyNumberFormat="1" applyBorder="1"/>
    <xf numFmtId="0" fontId="4" fillId="0" borderId="0" xfId="5" applyFont="1"/>
    <xf numFmtId="0" fontId="44" fillId="0" borderId="0" xfId="5" applyFont="1"/>
    <xf numFmtId="0" fontId="29" fillId="0" borderId="0" xfId="5" applyFont="1"/>
    <xf numFmtId="0" fontId="45" fillId="0" borderId="0" xfId="5" applyFont="1" applyAlignment="1">
      <alignment horizontal="centerContinuous"/>
    </xf>
    <xf numFmtId="0" fontId="4" fillId="0" borderId="0" xfId="5" applyFont="1" applyAlignment="1">
      <alignment horizontal="centerContinuous"/>
    </xf>
    <xf numFmtId="0" fontId="5" fillId="0" borderId="0" xfId="5" applyFont="1" applyAlignment="1">
      <alignment horizontal="centerContinuous"/>
    </xf>
    <xf numFmtId="0" fontId="10" fillId="0" borderId="0" xfId="5" applyFont="1"/>
    <xf numFmtId="0" fontId="6" fillId="0" borderId="1" xfId="5" applyFont="1" applyBorder="1" applyAlignment="1">
      <alignment horizontal="centerContinuous"/>
    </xf>
    <xf numFmtId="0" fontId="6" fillId="0" borderId="3" xfId="5" applyFont="1" applyBorder="1" applyAlignment="1">
      <alignment horizontal="centerContinuous"/>
    </xf>
    <xf numFmtId="0" fontId="4" fillId="0" borderId="93" xfId="5" applyFont="1" applyBorder="1" applyAlignment="1">
      <alignment horizontal="centerContinuous"/>
    </xf>
    <xf numFmtId="0" fontId="6" fillId="0" borderId="4" xfId="5" applyFont="1" applyBorder="1" applyAlignment="1">
      <alignment horizontal="centerContinuous"/>
    </xf>
    <xf numFmtId="0" fontId="6" fillId="0" borderId="94" xfId="5" applyFont="1" applyBorder="1" applyAlignment="1">
      <alignment horizontal="centerContinuous"/>
    </xf>
    <xf numFmtId="0" fontId="4" fillId="0" borderId="90" xfId="5" applyFont="1" applyBorder="1" applyAlignment="1">
      <alignment horizontal="centerContinuous"/>
    </xf>
    <xf numFmtId="0" fontId="4" fillId="0" borderId="1" xfId="5" applyFont="1" applyBorder="1"/>
    <xf numFmtId="0" fontId="4" fillId="0" borderId="3" xfId="5" applyFont="1" applyBorder="1"/>
    <xf numFmtId="0" fontId="4" fillId="0" borderId="93" xfId="5" applyFont="1" applyBorder="1"/>
    <xf numFmtId="0" fontId="4" fillId="0" borderId="2" xfId="5" applyFont="1" applyBorder="1"/>
    <xf numFmtId="0" fontId="4" fillId="0" borderId="58" xfId="5" applyFont="1" applyBorder="1"/>
    <xf numFmtId="0" fontId="7" fillId="0" borderId="0" xfId="5" applyFont="1" applyAlignment="1">
      <alignment horizontal="centerContinuous"/>
    </xf>
    <xf numFmtId="0" fontId="4" fillId="0" borderId="58" xfId="5" applyFont="1" applyBorder="1" applyAlignment="1">
      <alignment horizontal="centerContinuous"/>
    </xf>
    <xf numFmtId="0" fontId="7" fillId="0" borderId="2" xfId="5" applyFont="1" applyBorder="1" applyAlignment="1">
      <alignment horizontal="centerContinuous"/>
    </xf>
    <xf numFmtId="7" fontId="7" fillId="0" borderId="58" xfId="5" applyNumberFormat="1" applyFont="1" applyBorder="1" applyAlignment="1">
      <alignment horizontal="centerContinuous"/>
    </xf>
    <xf numFmtId="0" fontId="4" fillId="0" borderId="4" xfId="5" applyFont="1" applyBorder="1"/>
    <xf numFmtId="0" fontId="4" fillId="0" borderId="94" xfId="5" applyFont="1" applyBorder="1"/>
    <xf numFmtId="0" fontId="4" fillId="0" borderId="90" xfId="5" applyFont="1" applyBorder="1"/>
    <xf numFmtId="0" fontId="6" fillId="0" borderId="202" xfId="5" applyFont="1" applyBorder="1" applyAlignment="1">
      <alignment horizontal="center"/>
    </xf>
    <xf numFmtId="0" fontId="6" fillId="0" borderId="89" xfId="5" applyFont="1" applyBorder="1" applyAlignment="1">
      <alignment horizontal="center"/>
    </xf>
    <xf numFmtId="0" fontId="46" fillId="0" borderId="203" xfId="5" applyFont="1" applyBorder="1" applyAlignment="1">
      <alignment horizontal="center"/>
    </xf>
    <xf numFmtId="0" fontId="6" fillId="0" borderId="58" xfId="5" applyFont="1" applyBorder="1" applyAlignment="1">
      <alignment horizontal="center"/>
    </xf>
    <xf numFmtId="0" fontId="6" fillId="0" borderId="204" xfId="5" applyFont="1" applyBorder="1" applyAlignment="1">
      <alignment horizontal="center"/>
    </xf>
    <xf numFmtId="0" fontId="6" fillId="0" borderId="90" xfId="5" applyFont="1" applyBorder="1" applyAlignment="1">
      <alignment horizontal="center"/>
    </xf>
    <xf numFmtId="0" fontId="17" fillId="0" borderId="2" xfId="5" applyFont="1" applyBorder="1" applyAlignment="1">
      <alignment horizontal="centerContinuous"/>
    </xf>
    <xf numFmtId="0" fontId="4" fillId="0" borderId="203" xfId="5" applyFont="1" applyBorder="1"/>
    <xf numFmtId="37" fontId="4" fillId="0" borderId="58" xfId="5" applyNumberFormat="1" applyFont="1" applyBorder="1"/>
    <xf numFmtId="0" fontId="7" fillId="0" borderId="0" xfId="5" applyFont="1"/>
    <xf numFmtId="0" fontId="4" fillId="0" borderId="205" xfId="5" applyFont="1" applyBorder="1" applyAlignment="1">
      <alignment horizontal="center"/>
    </xf>
    <xf numFmtId="6" fontId="47" fillId="0" borderId="103" xfId="5" applyNumberFormat="1" applyFont="1" applyBorder="1" applyProtection="1">
      <protection locked="0"/>
    </xf>
    <xf numFmtId="6" fontId="47" fillId="6" borderId="103" xfId="5" applyNumberFormat="1" applyFont="1" applyFill="1" applyBorder="1"/>
    <xf numFmtId="0" fontId="4" fillId="0" borderId="103" xfId="5" quotePrefix="1" applyFont="1" applyBorder="1" applyAlignment="1">
      <alignment horizontal="center"/>
    </xf>
    <xf numFmtId="0" fontId="4" fillId="0" borderId="203" xfId="5" applyFont="1" applyBorder="1" applyAlignment="1">
      <alignment horizontal="center"/>
    </xf>
    <xf numFmtId="0" fontId="4" fillId="0" borderId="58" xfId="5" applyFont="1" applyBorder="1" applyAlignment="1">
      <alignment horizontal="center"/>
    </xf>
    <xf numFmtId="0" fontId="4" fillId="0" borderId="206" xfId="5" applyFont="1" applyBorder="1"/>
    <xf numFmtId="0" fontId="4" fillId="0" borderId="207" xfId="5" applyFont="1" applyBorder="1"/>
    <xf numFmtId="0" fontId="7" fillId="0" borderId="207" xfId="5" applyFont="1" applyBorder="1"/>
    <xf numFmtId="0" fontId="4" fillId="0" borderId="208" xfId="5" applyFont="1" applyBorder="1"/>
    <xf numFmtId="0" fontId="4" fillId="0" borderId="209" xfId="5" applyFont="1" applyBorder="1"/>
    <xf numFmtId="0" fontId="7" fillId="25" borderId="208" xfId="5" applyFont="1" applyFill="1" applyBorder="1" applyAlignment="1">
      <alignment horizontal="center"/>
    </xf>
    <xf numFmtId="6" fontId="7" fillId="25" borderId="208" xfId="5" applyNumberFormat="1" applyFont="1" applyFill="1" applyBorder="1"/>
    <xf numFmtId="0" fontId="4" fillId="0" borderId="205" xfId="5" applyFont="1" applyBorder="1"/>
    <xf numFmtId="0" fontId="4" fillId="0" borderId="103" xfId="5" applyFont="1" applyBorder="1"/>
    <xf numFmtId="6" fontId="4" fillId="0" borderId="103" xfId="5" applyNumberFormat="1" applyFont="1" applyBorder="1"/>
    <xf numFmtId="6" fontId="47" fillId="0" borderId="103" xfId="5" applyNumberFormat="1" applyFont="1" applyBorder="1"/>
    <xf numFmtId="0" fontId="4" fillId="25" borderId="210" xfId="5" applyFont="1" applyFill="1" applyBorder="1"/>
    <xf numFmtId="0" fontId="7" fillId="25" borderId="211" xfId="5" applyFont="1" applyFill="1" applyBorder="1"/>
    <xf numFmtId="0" fontId="4" fillId="25" borderId="211" xfId="5" applyFont="1" applyFill="1" applyBorder="1"/>
    <xf numFmtId="0" fontId="4" fillId="25" borderId="212" xfId="5" applyFont="1" applyFill="1" applyBorder="1"/>
    <xf numFmtId="0" fontId="4" fillId="25" borderId="213" xfId="5" applyFont="1" applyFill="1" applyBorder="1"/>
    <xf numFmtId="0" fontId="7" fillId="25" borderId="212" xfId="5" applyFont="1" applyFill="1" applyBorder="1" applyAlignment="1">
      <alignment horizontal="center"/>
    </xf>
    <xf numFmtId="6" fontId="7" fillId="25" borderId="212" xfId="5" applyNumberFormat="1" applyFont="1" applyFill="1" applyBorder="1"/>
    <xf numFmtId="6" fontId="4" fillId="0" borderId="58" xfId="5" applyNumberFormat="1" applyFont="1" applyBorder="1"/>
    <xf numFmtId="0" fontId="48" fillId="0" borderId="0" xfId="5" applyFont="1"/>
    <xf numFmtId="0" fontId="7" fillId="0" borderId="58" xfId="5" applyFont="1" applyBorder="1"/>
    <xf numFmtId="6" fontId="3" fillId="0" borderId="58" xfId="5" applyNumberFormat="1" applyFont="1" applyBorder="1"/>
    <xf numFmtId="0" fontId="7" fillId="0" borderId="208" xfId="5" applyFont="1" applyBorder="1"/>
    <xf numFmtId="0" fontId="4" fillId="0" borderId="58" xfId="5" quotePrefix="1" applyFont="1" applyBorder="1" applyAlignment="1">
      <alignment horizontal="center"/>
    </xf>
    <xf numFmtId="0" fontId="12" fillId="0" borderId="0" xfId="5" applyFont="1" applyAlignment="1">
      <alignment horizontal="centerContinuous"/>
    </xf>
    <xf numFmtId="0" fontId="12" fillId="0" borderId="58" xfId="5" applyFont="1" applyBorder="1" applyAlignment="1">
      <alignment horizontal="centerContinuous"/>
    </xf>
    <xf numFmtId="6" fontId="47" fillId="0" borderId="58" xfId="5" applyNumberFormat="1" applyFont="1" applyBorder="1"/>
    <xf numFmtId="0" fontId="29" fillId="0" borderId="205" xfId="5" applyFont="1" applyBorder="1" applyAlignment="1">
      <alignment horizontal="center"/>
    </xf>
    <xf numFmtId="0" fontId="7" fillId="25" borderId="103" xfId="5" applyFont="1" applyFill="1" applyBorder="1" applyAlignment="1">
      <alignment horizontal="center"/>
    </xf>
    <xf numFmtId="6" fontId="7" fillId="25" borderId="103" xfId="5" applyNumberFormat="1" applyFont="1" applyFill="1" applyBorder="1"/>
    <xf numFmtId="0" fontId="4" fillId="0" borderId="204" xfId="5" applyFont="1" applyBorder="1"/>
    <xf numFmtId="6" fontId="4" fillId="0" borderId="90" xfId="5" applyNumberFormat="1" applyFont="1" applyBorder="1"/>
    <xf numFmtId="0" fontId="6" fillId="0" borderId="0" xfId="5" applyFont="1"/>
    <xf numFmtId="165" fontId="29" fillId="0" borderId="0" xfId="3" applyNumberFormat="1" applyFont="1" applyBorder="1"/>
    <xf numFmtId="0" fontId="31" fillId="0" borderId="170" xfId="0" applyFont="1" applyBorder="1" applyAlignment="1">
      <alignment horizontal="center"/>
    </xf>
    <xf numFmtId="166" fontId="33" fillId="0" borderId="0" xfId="0" applyNumberFormat="1" applyFont="1" applyAlignment="1">
      <alignment horizontal="right"/>
    </xf>
    <xf numFmtId="167" fontId="32" fillId="0" borderId="169" xfId="0" applyNumberFormat="1" applyFont="1" applyBorder="1" applyAlignment="1">
      <alignment horizontal="right"/>
    </xf>
    <xf numFmtId="166" fontId="33" fillId="0" borderId="0" xfId="0" applyNumberFormat="1" applyFont="1"/>
    <xf numFmtId="0" fontId="32" fillId="0" borderId="0" xfId="0" applyFont="1" applyAlignment="1">
      <alignment horizontal="left"/>
    </xf>
    <xf numFmtId="6" fontId="0" fillId="0" borderId="0" xfId="0" applyNumberFormat="1"/>
    <xf numFmtId="1" fontId="1" fillId="0" borderId="0" xfId="6" applyNumberFormat="1" applyFont="1"/>
    <xf numFmtId="0" fontId="50" fillId="0" borderId="214" xfId="6" applyFont="1" applyBorder="1"/>
    <xf numFmtId="0" fontId="50" fillId="0" borderId="215" xfId="6" applyFont="1" applyBorder="1"/>
    <xf numFmtId="0" fontId="51" fillId="0" borderId="215" xfId="6" applyFont="1" applyBorder="1"/>
    <xf numFmtId="0" fontId="51" fillId="0" borderId="216" xfId="6" applyFont="1" applyBorder="1"/>
    <xf numFmtId="0" fontId="52" fillId="0" borderId="217" xfId="6" applyFont="1" applyBorder="1"/>
    <xf numFmtId="0" fontId="52" fillId="0" borderId="215" xfId="6" applyFont="1" applyBorder="1"/>
    <xf numFmtId="0" fontId="52" fillId="0" borderId="216" xfId="6" applyFont="1" applyBorder="1"/>
    <xf numFmtId="0" fontId="49" fillId="0" borderId="0" xfId="6"/>
    <xf numFmtId="0" fontId="1" fillId="0" borderId="0" xfId="6" applyFont="1"/>
    <xf numFmtId="0" fontId="1" fillId="26" borderId="0" xfId="6" applyFont="1" applyFill="1"/>
    <xf numFmtId="0" fontId="1" fillId="27" borderId="0" xfId="6" applyFont="1" applyFill="1"/>
    <xf numFmtId="1" fontId="53" fillId="28" borderId="217" xfId="6" applyNumberFormat="1" applyFont="1" applyFill="1" applyBorder="1"/>
    <xf numFmtId="0" fontId="54" fillId="0" borderId="0" xfId="6" applyFont="1"/>
    <xf numFmtId="0" fontId="55" fillId="0" borderId="0" xfId="6" applyFont="1"/>
    <xf numFmtId="0" fontId="56" fillId="0" borderId="0" xfId="6" applyFont="1"/>
    <xf numFmtId="0" fontId="40" fillId="0" borderId="217" xfId="6" applyFont="1" applyBorder="1"/>
    <xf numFmtId="0" fontId="54" fillId="0" borderId="217" xfId="6" applyFont="1" applyBorder="1"/>
    <xf numFmtId="0" fontId="51" fillId="0" borderId="0" xfId="6" applyFont="1"/>
    <xf numFmtId="0" fontId="54" fillId="0" borderId="0" xfId="6" applyFont="1" applyAlignment="1">
      <alignment horizontal="right"/>
    </xf>
    <xf numFmtId="1" fontId="51" fillId="28" borderId="217" xfId="6" applyNumberFormat="1" applyFont="1" applyFill="1" applyBorder="1" applyAlignment="1">
      <alignment horizontal="right"/>
    </xf>
    <xf numFmtId="0" fontId="40" fillId="0" borderId="218" xfId="6" applyFont="1" applyBorder="1" applyAlignment="1">
      <alignment horizontal="right"/>
    </xf>
    <xf numFmtId="0" fontId="54" fillId="0" borderId="219" xfId="6" applyFont="1" applyBorder="1"/>
    <xf numFmtId="0" fontId="54" fillId="0" borderId="218" xfId="6" applyFont="1" applyBorder="1" applyAlignment="1">
      <alignment horizontal="right"/>
    </xf>
    <xf numFmtId="0" fontId="40" fillId="0" borderId="217" xfId="6" applyFont="1" applyBorder="1" applyAlignment="1">
      <alignment horizontal="right"/>
    </xf>
    <xf numFmtId="0" fontId="54" fillId="0" borderId="217" xfId="6" applyFont="1" applyBorder="1" applyAlignment="1">
      <alignment horizontal="right"/>
    </xf>
    <xf numFmtId="1" fontId="52" fillId="28" borderId="217" xfId="6" applyNumberFormat="1" applyFont="1" applyFill="1" applyBorder="1" applyAlignment="1">
      <alignment horizontal="right"/>
    </xf>
    <xf numFmtId="0" fontId="54" fillId="0" borderId="218" xfId="6" applyFont="1" applyBorder="1"/>
    <xf numFmtId="0" fontId="54" fillId="27" borderId="0" xfId="6" applyFont="1" applyFill="1"/>
    <xf numFmtId="0" fontId="54" fillId="27" borderId="217" xfId="6" applyFont="1" applyFill="1" applyBorder="1"/>
    <xf numFmtId="0" fontId="40" fillId="27" borderId="218" xfId="6" applyFont="1" applyFill="1" applyBorder="1" applyAlignment="1">
      <alignment horizontal="right"/>
    </xf>
    <xf numFmtId="0" fontId="54" fillId="27" borderId="219" xfId="6" applyFont="1" applyFill="1" applyBorder="1"/>
    <xf numFmtId="0" fontId="54" fillId="27" borderId="218" xfId="6" applyFont="1" applyFill="1" applyBorder="1" applyAlignment="1">
      <alignment horizontal="right"/>
    </xf>
    <xf numFmtId="1" fontId="52" fillId="29" borderId="217" xfId="6" applyNumberFormat="1" applyFont="1" applyFill="1" applyBorder="1" applyAlignment="1">
      <alignment horizontal="right"/>
    </xf>
    <xf numFmtId="0" fontId="54" fillId="29" borderId="0" xfId="6" applyFont="1" applyFill="1"/>
    <xf numFmtId="0" fontId="40" fillId="29" borderId="217" xfId="6" applyFont="1" applyFill="1" applyBorder="1"/>
    <xf numFmtId="0" fontId="1" fillId="29" borderId="0" xfId="6" applyFont="1" applyFill="1"/>
    <xf numFmtId="0" fontId="54" fillId="29" borderId="219" xfId="6" applyFont="1" applyFill="1" applyBorder="1"/>
    <xf numFmtId="0" fontId="54" fillId="29" borderId="218" xfId="6" applyFont="1" applyFill="1" applyBorder="1" applyAlignment="1">
      <alignment horizontal="right"/>
    </xf>
    <xf numFmtId="0" fontId="40" fillId="29" borderId="217" xfId="6" applyFont="1" applyFill="1" applyBorder="1" applyAlignment="1">
      <alignment horizontal="right"/>
    </xf>
    <xf numFmtId="1" fontId="53" fillId="29" borderId="217" xfId="6" applyNumberFormat="1" applyFont="1" applyFill="1" applyBorder="1"/>
    <xf numFmtId="0" fontId="51" fillId="29" borderId="0" xfId="6" applyFont="1" applyFill="1"/>
    <xf numFmtId="0" fontId="52" fillId="29" borderId="217" xfId="6" applyFont="1" applyFill="1" applyBorder="1"/>
    <xf numFmtId="0" fontId="54" fillId="29" borderId="217" xfId="6" applyFont="1" applyFill="1" applyBorder="1" applyAlignment="1">
      <alignment horizontal="right"/>
    </xf>
    <xf numFmtId="0" fontId="51" fillId="0" borderId="217" xfId="6" applyFont="1" applyBorder="1"/>
    <xf numFmtId="0" fontId="52" fillId="0" borderId="217" xfId="6" applyFont="1" applyBorder="1" applyAlignment="1">
      <alignment horizontal="right"/>
    </xf>
    <xf numFmtId="0" fontId="52" fillId="0" borderId="222" xfId="6" applyFont="1" applyBorder="1" applyAlignment="1">
      <alignment horizontal="right"/>
    </xf>
    <xf numFmtId="0" fontId="51" fillId="0" borderId="221" xfId="6" applyFont="1" applyBorder="1"/>
    <xf numFmtId="0" fontId="51" fillId="0" borderId="222" xfId="6" applyFont="1" applyBorder="1"/>
    <xf numFmtId="1" fontId="51" fillId="29" borderId="217" xfId="6" applyNumberFormat="1" applyFont="1" applyFill="1" applyBorder="1" applyAlignment="1">
      <alignment horizontal="right"/>
    </xf>
    <xf numFmtId="0" fontId="52" fillId="0" borderId="216" xfId="6" applyFont="1" applyBorder="1" applyAlignment="1">
      <alignment horizontal="right"/>
    </xf>
    <xf numFmtId="0" fontId="54" fillId="0" borderId="219" xfId="6" applyFont="1" applyBorder="1" applyAlignment="1">
      <alignment horizontal="right"/>
    </xf>
    <xf numFmtId="0" fontId="57" fillId="0" borderId="0" xfId="6" applyFont="1"/>
    <xf numFmtId="0" fontId="40" fillId="0" borderId="219" xfId="6" applyFont="1" applyBorder="1" applyAlignment="1">
      <alignment horizontal="right"/>
    </xf>
    <xf numFmtId="0" fontId="40" fillId="0" borderId="223" xfId="6" applyFont="1" applyBorder="1" applyAlignment="1">
      <alignment horizontal="right"/>
    </xf>
    <xf numFmtId="0" fontId="54" fillId="0" borderId="224" xfId="6" applyFont="1" applyBorder="1" applyAlignment="1">
      <alignment horizontal="right"/>
    </xf>
    <xf numFmtId="0" fontId="54" fillId="0" borderId="223" xfId="6" applyFont="1" applyBorder="1" applyAlignment="1">
      <alignment horizontal="right"/>
    </xf>
    <xf numFmtId="0" fontId="54" fillId="0" borderId="215" xfId="6" applyFont="1" applyBorder="1"/>
    <xf numFmtId="0" fontId="58" fillId="0" borderId="225" xfId="6" applyFont="1" applyBorder="1"/>
    <xf numFmtId="0" fontId="58" fillId="0" borderId="226" xfId="6" applyFont="1" applyBorder="1"/>
    <xf numFmtId="0" fontId="51" fillId="0" borderId="219" xfId="6" applyFont="1" applyBorder="1"/>
    <xf numFmtId="0" fontId="40" fillId="0" borderId="0" xfId="6" applyFont="1"/>
    <xf numFmtId="0" fontId="52" fillId="0" borderId="0" xfId="6" applyFont="1"/>
    <xf numFmtId="0" fontId="40" fillId="0" borderId="227" xfId="6" applyFont="1" applyBorder="1"/>
    <xf numFmtId="0" fontId="59" fillId="0" borderId="0" xfId="6" applyFont="1"/>
    <xf numFmtId="0" fontId="61" fillId="0" borderId="215" xfId="6" applyFont="1" applyBorder="1"/>
    <xf numFmtId="0" fontId="62" fillId="0" borderId="217" xfId="6" applyFont="1" applyBorder="1"/>
    <xf numFmtId="0" fontId="62" fillId="0" borderId="217" xfId="6" applyFont="1" applyBorder="1" applyAlignment="1">
      <alignment horizontal="left"/>
    </xf>
    <xf numFmtId="0" fontId="57" fillId="27" borderId="0" xfId="6" applyFont="1" applyFill="1"/>
    <xf numFmtId="0" fontId="51" fillId="0" borderId="228" xfId="6" applyFont="1" applyBorder="1"/>
    <xf numFmtId="1" fontId="53" fillId="28" borderId="229" xfId="6" applyNumberFormat="1" applyFont="1" applyFill="1" applyBorder="1"/>
    <xf numFmtId="0" fontId="52" fillId="0" borderId="233" xfId="6" applyFont="1" applyBorder="1" applyAlignment="1">
      <alignment horizontal="right"/>
    </xf>
    <xf numFmtId="0" fontId="52" fillId="0" borderId="234" xfId="6" applyFont="1" applyBorder="1"/>
    <xf numFmtId="0" fontId="52" fillId="0" borderId="228" xfId="6" applyFont="1" applyBorder="1"/>
    <xf numFmtId="0" fontId="40" fillId="0" borderId="228" xfId="6" applyFont="1" applyBorder="1"/>
    <xf numFmtId="0" fontId="54" fillId="0" borderId="228" xfId="6" applyFont="1" applyBorder="1"/>
    <xf numFmtId="0" fontId="54" fillId="0" borderId="235" xfId="6" applyFont="1" applyBorder="1" applyAlignment="1">
      <alignment horizontal="right"/>
    </xf>
    <xf numFmtId="0" fontId="54" fillId="0" borderId="236" xfId="6" applyFont="1" applyBorder="1" applyAlignment="1">
      <alignment horizontal="right"/>
    </xf>
    <xf numFmtId="0" fontId="40" fillId="0" borderId="236" xfId="6" applyFont="1" applyBorder="1" applyAlignment="1">
      <alignment horizontal="right"/>
    </xf>
    <xf numFmtId="0" fontId="51" fillId="0" borderId="237" xfId="6" applyFont="1" applyBorder="1"/>
    <xf numFmtId="0" fontId="54" fillId="0" borderId="221" xfId="6" applyFont="1" applyBorder="1"/>
    <xf numFmtId="0" fontId="54" fillId="0" borderId="222" xfId="6" applyFont="1" applyBorder="1"/>
    <xf numFmtId="0" fontId="54" fillId="0" borderId="216" xfId="6" applyFont="1" applyBorder="1"/>
    <xf numFmtId="0" fontId="54" fillId="0" borderId="215" xfId="6" applyFont="1" applyBorder="1" applyAlignment="1">
      <alignment horizontal="right"/>
    </xf>
    <xf numFmtId="0" fontId="40" fillId="0" borderId="216" xfId="6" applyFont="1" applyBorder="1" applyAlignment="1">
      <alignment horizontal="right"/>
    </xf>
    <xf numFmtId="0" fontId="40" fillId="29" borderId="218" xfId="6" applyFont="1" applyFill="1" applyBorder="1" applyAlignment="1">
      <alignment horizontal="right"/>
    </xf>
    <xf numFmtId="0" fontId="54" fillId="29" borderId="219" xfId="6" applyFont="1" applyFill="1" applyBorder="1" applyAlignment="1">
      <alignment horizontal="right"/>
    </xf>
    <xf numFmtId="0" fontId="57" fillId="29" borderId="0" xfId="6" applyFont="1" applyFill="1"/>
    <xf numFmtId="1" fontId="63" fillId="29" borderId="0" xfId="6" applyNumberFormat="1" applyFont="1" applyFill="1" applyAlignment="1">
      <alignment horizontal="left"/>
    </xf>
    <xf numFmtId="0" fontId="63" fillId="29" borderId="0" xfId="6" applyFont="1" applyFill="1" applyAlignment="1">
      <alignment horizontal="left"/>
    </xf>
    <xf numFmtId="0" fontId="40" fillId="29" borderId="0" xfId="6" applyFont="1" applyFill="1"/>
    <xf numFmtId="1" fontId="64" fillId="29" borderId="0" xfId="6" applyNumberFormat="1" applyFont="1" applyFill="1" applyAlignment="1">
      <alignment horizontal="left"/>
    </xf>
    <xf numFmtId="0" fontId="54" fillId="29" borderId="217" xfId="6" applyFont="1" applyFill="1" applyBorder="1"/>
    <xf numFmtId="0" fontId="54" fillId="29" borderId="0" xfId="6" applyFont="1" applyFill="1" applyAlignment="1">
      <alignment horizontal="right"/>
    </xf>
    <xf numFmtId="1" fontId="52" fillId="28" borderId="0" xfId="6" applyNumberFormat="1" applyFont="1" applyFill="1"/>
    <xf numFmtId="1" fontId="51" fillId="28" borderId="0" xfId="6" applyNumberFormat="1" applyFont="1" applyFill="1"/>
    <xf numFmtId="0" fontId="54" fillId="0" borderId="227" xfId="6" applyFont="1" applyBorder="1"/>
    <xf numFmtId="0" fontId="40" fillId="0" borderId="218" xfId="6" applyFont="1" applyBorder="1" applyAlignment="1">
      <alignment horizontal="center"/>
    </xf>
    <xf numFmtId="0" fontId="54" fillId="0" borderId="238" xfId="6" applyFont="1" applyBorder="1" applyAlignment="1">
      <alignment horizontal="center"/>
    </xf>
    <xf numFmtId="1" fontId="40" fillId="0" borderId="0" xfId="6" applyNumberFormat="1" applyFont="1" applyAlignment="1">
      <alignment horizontal="left"/>
    </xf>
    <xf numFmtId="1" fontId="64" fillId="0" borderId="0" xfId="6" applyNumberFormat="1" applyFont="1" applyAlignment="1">
      <alignment horizontal="left"/>
    </xf>
    <xf numFmtId="0" fontId="65" fillId="0" borderId="0" xfId="6" applyFont="1"/>
    <xf numFmtId="0" fontId="40" fillId="0" borderId="217" xfId="6" applyFont="1" applyBorder="1" applyAlignment="1">
      <alignment horizontal="center"/>
    </xf>
    <xf numFmtId="0" fontId="54" fillId="0" borderId="227" xfId="6" applyFont="1" applyBorder="1" applyAlignment="1">
      <alignment horizontal="center"/>
    </xf>
    <xf numFmtId="0" fontId="51" fillId="0" borderId="227" xfId="6" applyFont="1" applyBorder="1"/>
    <xf numFmtId="0" fontId="41" fillId="0" borderId="0" xfId="6" applyFont="1"/>
    <xf numFmtId="1" fontId="64" fillId="27" borderId="0" xfId="6" applyNumberFormat="1" applyFont="1" applyFill="1" applyAlignment="1">
      <alignment horizontal="left"/>
    </xf>
    <xf numFmtId="0" fontId="54" fillId="0" borderId="220" xfId="6" applyFont="1" applyBorder="1"/>
    <xf numFmtId="0" fontId="51" fillId="0" borderId="239" xfId="6" applyFont="1" applyBorder="1"/>
    <xf numFmtId="0" fontId="64" fillId="27" borderId="0" xfId="6" applyFont="1" applyFill="1" applyAlignment="1">
      <alignment horizontal="left"/>
    </xf>
    <xf numFmtId="0" fontId="66" fillId="30" borderId="0" xfId="6" applyFont="1" applyFill="1" applyAlignment="1">
      <alignment horizontal="left"/>
    </xf>
    <xf numFmtId="1" fontId="40" fillId="27" borderId="0" xfId="6" applyNumberFormat="1" applyFont="1" applyFill="1" applyAlignment="1">
      <alignment horizontal="left"/>
    </xf>
    <xf numFmtId="0" fontId="40" fillId="27" borderId="0" xfId="6" applyFont="1" applyFill="1"/>
    <xf numFmtId="0" fontId="65" fillId="0" borderId="0" xfId="6" applyFont="1" applyAlignment="1">
      <alignment horizontal="left"/>
    </xf>
    <xf numFmtId="0" fontId="67" fillId="18" borderId="0" xfId="7" applyFont="1" applyFill="1"/>
    <xf numFmtId="0" fontId="0" fillId="0" borderId="0" xfId="0" applyAlignment="1">
      <alignment wrapText="1"/>
    </xf>
    <xf numFmtId="0" fontId="70" fillId="0" borderId="170" xfId="0" applyFont="1" applyBorder="1" applyAlignment="1">
      <alignment horizontal="center" wrapText="1"/>
    </xf>
    <xf numFmtId="0" fontId="71" fillId="0" borderId="0" xfId="0" applyFont="1" applyAlignment="1">
      <alignment horizontal="left" wrapText="1"/>
    </xf>
    <xf numFmtId="166" fontId="72" fillId="0" borderId="0" xfId="0" applyNumberFormat="1" applyFont="1" applyAlignment="1">
      <alignment wrapText="1"/>
    </xf>
    <xf numFmtId="166" fontId="72" fillId="0" borderId="0" xfId="0" applyNumberFormat="1" applyFont="1" applyAlignment="1">
      <alignment horizontal="right" wrapText="1"/>
    </xf>
    <xf numFmtId="167" fontId="71" fillId="0" borderId="240" xfId="0" applyNumberFormat="1" applyFont="1" applyBorder="1" applyAlignment="1">
      <alignment horizontal="right" wrapText="1"/>
    </xf>
    <xf numFmtId="165" fontId="0" fillId="18" borderId="0" xfId="2" applyNumberFormat="1" applyFont="1" applyFill="1"/>
    <xf numFmtId="0" fontId="39" fillId="0" borderId="174" xfId="4" applyFont="1" applyBorder="1" applyAlignment="1">
      <alignment wrapText="1"/>
    </xf>
    <xf numFmtId="0" fontId="39" fillId="0" borderId="175" xfId="4" applyFont="1" applyBorder="1" applyAlignment="1">
      <alignment wrapText="1"/>
    </xf>
    <xf numFmtId="0" fontId="39" fillId="0" borderId="174" xfId="4" applyFont="1" applyBorder="1"/>
    <xf numFmtId="165" fontId="34" fillId="0" borderId="174" xfId="2" applyNumberFormat="1" applyFont="1" applyBorder="1"/>
    <xf numFmtId="165" fontId="34" fillId="31" borderId="174" xfId="4" applyNumberFormat="1" applyFill="1" applyBorder="1"/>
    <xf numFmtId="165" fontId="34" fillId="31" borderId="0" xfId="2" applyNumberFormat="1" applyFont="1" applyFill="1" applyBorder="1"/>
    <xf numFmtId="165" fontId="34" fillId="0" borderId="174" xfId="4" applyNumberFormat="1" applyBorder="1"/>
    <xf numFmtId="0" fontId="39" fillId="0" borderId="0" xfId="4" applyFont="1"/>
    <xf numFmtId="0" fontId="42" fillId="0" borderId="176" xfId="4" applyFont="1" applyBorder="1"/>
    <xf numFmtId="166" fontId="72" fillId="18" borderId="0" xfId="0" applyNumberFormat="1" applyFont="1" applyFill="1" applyAlignment="1">
      <alignment wrapText="1"/>
    </xf>
    <xf numFmtId="166" fontId="72" fillId="18" borderId="0" xfId="0" applyNumberFormat="1" applyFont="1" applyFill="1" applyAlignment="1">
      <alignment horizontal="right" wrapText="1"/>
    </xf>
    <xf numFmtId="0" fontId="73" fillId="0" borderId="194" xfId="8" applyFont="1" applyBorder="1" applyAlignment="1">
      <alignment horizontal="center" vertical="center" wrapText="1"/>
    </xf>
    <xf numFmtId="0" fontId="74" fillId="0" borderId="194" xfId="8" applyFont="1" applyBorder="1" applyAlignment="1">
      <alignment horizontal="center" vertical="center" wrapText="1"/>
    </xf>
    <xf numFmtId="49" fontId="74" fillId="0" borderId="194" xfId="8" applyNumberFormat="1" applyFont="1" applyBorder="1" applyAlignment="1">
      <alignment horizontal="center" vertical="center" wrapText="1"/>
    </xf>
    <xf numFmtId="0" fontId="75" fillId="0" borderId="194" xfId="8" applyFont="1" applyBorder="1" applyAlignment="1">
      <alignment horizontal="center" vertical="center" wrapText="1"/>
    </xf>
    <xf numFmtId="14" fontId="76" fillId="0" borderId="244" xfId="8" applyNumberFormat="1" applyFont="1" applyBorder="1" applyAlignment="1">
      <alignment vertical="top"/>
    </xf>
    <xf numFmtId="0" fontId="76" fillId="0" borderId="245" xfId="0" applyFont="1" applyBorder="1" applyAlignment="1">
      <alignment vertical="top"/>
    </xf>
    <xf numFmtId="0" fontId="76" fillId="0" borderId="245" xfId="8" applyFont="1" applyBorder="1" applyAlignment="1">
      <alignment vertical="top"/>
    </xf>
    <xf numFmtId="0" fontId="77" fillId="0" borderId="245" xfId="8" applyFont="1" applyBorder="1" applyAlignment="1">
      <alignment vertical="top"/>
    </xf>
    <xf numFmtId="0" fontId="77" fillId="0" borderId="245" xfId="8" applyFont="1" applyBorder="1" applyAlignment="1">
      <alignment horizontal="center" vertical="top"/>
    </xf>
    <xf numFmtId="6" fontId="76" fillId="0" borderId="245" xfId="8" applyNumberFormat="1" applyFont="1" applyBorder="1" applyAlignment="1">
      <alignment vertical="top"/>
    </xf>
    <xf numFmtId="0" fontId="76" fillId="0" borderId="194" xfId="8" applyFont="1" applyBorder="1" applyAlignment="1">
      <alignment vertical="top"/>
    </xf>
    <xf numFmtId="0" fontId="77" fillId="0" borderId="194" xfId="8" applyFont="1" applyBorder="1" applyAlignment="1">
      <alignment vertical="top"/>
    </xf>
    <xf numFmtId="0" fontId="77" fillId="0" borderId="194" xfId="8" applyFont="1" applyBorder="1" applyAlignment="1">
      <alignment horizontal="center" vertical="top"/>
    </xf>
    <xf numFmtId="0" fontId="77" fillId="0" borderId="205" xfId="8" applyFont="1" applyBorder="1" applyAlignment="1">
      <alignment horizontal="center"/>
    </xf>
    <xf numFmtId="0" fontId="77" fillId="0" borderId="203" xfId="8" applyFont="1" applyBorder="1" applyAlignment="1">
      <alignment horizontal="center"/>
    </xf>
    <xf numFmtId="0" fontId="77" fillId="0" borderId="194" xfId="8" applyFont="1" applyBorder="1" applyAlignment="1">
      <alignment horizontal="center"/>
    </xf>
    <xf numFmtId="0" fontId="78" fillId="0" borderId="0" xfId="8" applyFont="1" applyAlignment="1">
      <alignment vertical="top"/>
    </xf>
    <xf numFmtId="0" fontId="76" fillId="0" borderId="0" xfId="8" applyFont="1" applyAlignment="1">
      <alignment vertical="top"/>
    </xf>
    <xf numFmtId="0" fontId="75" fillId="0" borderId="0" xfId="8" applyFont="1" applyAlignment="1">
      <alignment vertical="top"/>
    </xf>
    <xf numFmtId="0" fontId="73" fillId="0" borderId="0" xfId="8" applyFont="1" applyAlignment="1">
      <alignment vertical="top"/>
    </xf>
    <xf numFmtId="0" fontId="77" fillId="0" borderId="0" xfId="8" applyFont="1" applyAlignment="1">
      <alignment vertical="top"/>
    </xf>
    <xf numFmtId="0" fontId="1" fillId="0" borderId="0" xfId="8" applyAlignment="1">
      <alignment vertical="top"/>
    </xf>
    <xf numFmtId="0" fontId="76" fillId="0" borderId="0" xfId="8" applyFont="1"/>
    <xf numFmtId="0" fontId="68" fillId="0" borderId="0" xfId="0" applyFont="1" applyAlignment="1">
      <alignment horizontal="center"/>
    </xf>
    <xf numFmtId="0" fontId="0" fillId="0" borderId="0" xfId="0"/>
    <xf numFmtId="0" fontId="69" fillId="0" borderId="0" xfId="0" applyFont="1" applyAlignment="1">
      <alignment horizontal="center"/>
    </xf>
    <xf numFmtId="0" fontId="72" fillId="0" borderId="0" xfId="0" applyFont="1" applyAlignment="1">
      <alignment horizontal="center"/>
    </xf>
    <xf numFmtId="0" fontId="51" fillId="0" borderId="0" xfId="6" applyFont="1"/>
    <xf numFmtId="0" fontId="49" fillId="0" borderId="0" xfId="6"/>
    <xf numFmtId="0" fontId="51" fillId="0" borderId="221" xfId="6" applyFont="1" applyBorder="1"/>
    <xf numFmtId="0" fontId="9" fillId="0" borderId="221" xfId="6" applyFont="1" applyBorder="1"/>
    <xf numFmtId="0" fontId="54" fillId="0" borderId="0" xfId="6" applyFont="1"/>
    <xf numFmtId="0" fontId="9" fillId="0" borderId="217" xfId="6" applyFont="1" applyBorder="1"/>
    <xf numFmtId="0" fontId="54" fillId="0" borderId="215" xfId="6" applyFont="1" applyBorder="1"/>
    <xf numFmtId="0" fontId="9" fillId="0" borderId="216" xfId="6" applyFont="1" applyBorder="1"/>
    <xf numFmtId="0" fontId="61" fillId="0" borderId="215" xfId="6" applyFont="1" applyBorder="1"/>
    <xf numFmtId="0" fontId="61" fillId="0" borderId="219" xfId="6" applyFont="1" applyBorder="1"/>
    <xf numFmtId="0" fontId="9" fillId="0" borderId="218" xfId="6" applyFont="1" applyBorder="1"/>
    <xf numFmtId="0" fontId="51" fillId="0" borderId="220" xfId="6" applyFont="1" applyBorder="1"/>
    <xf numFmtId="0" fontId="9" fillId="0" borderId="222" xfId="6" applyFont="1" applyBorder="1"/>
    <xf numFmtId="0" fontId="51" fillId="0" borderId="228" xfId="6" applyFont="1" applyBorder="1"/>
    <xf numFmtId="0" fontId="40" fillId="0" borderId="0" xfId="6" applyFont="1"/>
    <xf numFmtId="0" fontId="51" fillId="0" borderId="230" xfId="6" applyFont="1" applyBorder="1"/>
    <xf numFmtId="0" fontId="9" fillId="0" borderId="231" xfId="6" applyFont="1" applyBorder="1"/>
    <xf numFmtId="0" fontId="9" fillId="0" borderId="232" xfId="6" applyFont="1" applyBorder="1"/>
    <xf numFmtId="0" fontId="51" fillId="0" borderId="214" xfId="6" applyFont="1" applyBorder="1"/>
    <xf numFmtId="0" fontId="9" fillId="0" borderId="215" xfId="6" applyFont="1" applyBorder="1"/>
    <xf numFmtId="0" fontId="52" fillId="0" borderId="0" xfId="6" applyFont="1"/>
    <xf numFmtId="0" fontId="60" fillId="0" borderId="0" xfId="6" applyFont="1"/>
    <xf numFmtId="0" fontId="60" fillId="0" borderId="215" xfId="6" applyFont="1" applyBorder="1"/>
    <xf numFmtId="0" fontId="56" fillId="0" borderId="0" xfId="6" applyFont="1"/>
    <xf numFmtId="0" fontId="7" fillId="21" borderId="99" xfId="5" applyFont="1" applyFill="1" applyBorder="1" applyAlignment="1">
      <alignment horizontal="center" vertical="center" wrapText="1"/>
    </xf>
    <xf numFmtId="0" fontId="7" fillId="21" borderId="101" xfId="5" applyFont="1" applyFill="1" applyBorder="1" applyAlignment="1">
      <alignment horizontal="center" vertical="center"/>
    </xf>
    <xf numFmtId="0" fontId="7" fillId="21" borderId="100" xfId="5" applyFont="1" applyFill="1" applyBorder="1" applyAlignment="1">
      <alignment horizontal="center" vertical="center"/>
    </xf>
    <xf numFmtId="0" fontId="7" fillId="22" borderId="99" xfId="5" applyFont="1" applyFill="1" applyBorder="1" applyAlignment="1">
      <alignment horizontal="center" vertical="center" wrapText="1"/>
    </xf>
    <xf numFmtId="0" fontId="7" fillId="22" borderId="101" xfId="5" applyFont="1" applyFill="1" applyBorder="1" applyAlignment="1">
      <alignment horizontal="center" vertical="center"/>
    </xf>
    <xf numFmtId="0" fontId="7" fillId="22" borderId="100" xfId="5" applyFont="1" applyFill="1" applyBorder="1" applyAlignment="1">
      <alignment horizontal="center" vertical="center"/>
    </xf>
    <xf numFmtId="0" fontId="4" fillId="0" borderId="99" xfId="5" applyFont="1" applyBorder="1" applyAlignment="1" applyProtection="1">
      <alignment horizontal="center"/>
      <protection locked="0"/>
    </xf>
    <xf numFmtId="0" fontId="4" fillId="0" borderId="100" xfId="5" applyFont="1" applyBorder="1" applyAlignment="1" applyProtection="1">
      <alignment horizontal="center"/>
      <protection locked="0"/>
    </xf>
    <xf numFmtId="0" fontId="7" fillId="20" borderId="99" xfId="5" applyFont="1" applyFill="1" applyBorder="1" applyAlignment="1">
      <alignment horizontal="center" vertical="center" wrapText="1"/>
    </xf>
    <xf numFmtId="0" fontId="7" fillId="20" borderId="101" xfId="5" applyFont="1" applyFill="1" applyBorder="1" applyAlignment="1">
      <alignment horizontal="center" vertical="center"/>
    </xf>
    <xf numFmtId="0" fontId="7" fillId="20" borderId="100" xfId="5" applyFont="1" applyFill="1" applyBorder="1" applyAlignment="1">
      <alignment horizontal="center" vertical="center"/>
    </xf>
    <xf numFmtId="0" fontId="39" fillId="0" borderId="241" xfId="4" applyFont="1" applyBorder="1" applyAlignment="1">
      <alignment horizontal="center" wrapText="1"/>
    </xf>
    <xf numFmtId="0" fontId="39" fillId="0" borderId="242" xfId="4" applyFont="1" applyBorder="1" applyAlignment="1">
      <alignment horizontal="center" wrapText="1"/>
    </xf>
    <xf numFmtId="0" fontId="39" fillId="0" borderId="243" xfId="4" applyFont="1" applyBorder="1" applyAlignment="1">
      <alignment horizontal="center" wrapText="1"/>
    </xf>
    <xf numFmtId="0" fontId="39" fillId="0" borderId="187" xfId="4" applyFont="1" applyBorder="1" applyAlignment="1">
      <alignment horizontal="center" wrapText="1"/>
    </xf>
    <xf numFmtId="0" fontId="39" fillId="0" borderId="193" xfId="4" applyFont="1" applyBorder="1" applyAlignment="1">
      <alignment horizontal="center" wrapText="1"/>
    </xf>
    <xf numFmtId="0" fontId="39" fillId="0" borderId="196" xfId="4" applyFont="1" applyBorder="1" applyAlignment="1">
      <alignment horizontal="center" wrapText="1"/>
    </xf>
    <xf numFmtId="0" fontId="39" fillId="0" borderId="188" xfId="4" applyFont="1" applyBorder="1" applyAlignment="1">
      <alignment horizontal="center" wrapText="1"/>
    </xf>
    <xf numFmtId="0" fontId="39" fillId="0" borderId="194" xfId="4" applyFont="1" applyBorder="1" applyAlignment="1">
      <alignment horizontal="center" wrapText="1"/>
    </xf>
    <xf numFmtId="0" fontId="39" fillId="0" borderId="197" xfId="4" applyFont="1" applyBorder="1" applyAlignment="1">
      <alignment horizontal="center" wrapText="1"/>
    </xf>
    <xf numFmtId="0" fontId="36" fillId="0" borderId="180" xfId="0" applyFont="1" applyBorder="1" applyAlignment="1">
      <alignment horizontal="center"/>
    </xf>
    <xf numFmtId="0" fontId="37" fillId="0" borderId="181" xfId="0" applyFont="1" applyBorder="1"/>
    <xf numFmtId="0" fontId="37" fillId="0" borderId="182" xfId="0" applyFont="1" applyBorder="1"/>
    <xf numFmtId="0" fontId="37" fillId="0" borderId="183" xfId="0" applyFont="1" applyBorder="1"/>
    <xf numFmtId="0" fontId="37" fillId="0" borderId="184" xfId="0" applyFont="1" applyBorder="1"/>
    <xf numFmtId="0" fontId="16" fillId="0" borderId="172" xfId="0" applyFont="1" applyBorder="1" applyAlignment="1">
      <alignment horizontal="center"/>
    </xf>
    <xf numFmtId="0" fontId="16" fillId="0" borderId="185" xfId="0" applyFont="1" applyBorder="1" applyAlignment="1">
      <alignment horizontal="center"/>
    </xf>
    <xf numFmtId="0" fontId="16" fillId="0" borderId="173" xfId="0" applyFont="1" applyBorder="1" applyAlignment="1">
      <alignment horizontal="center"/>
    </xf>
    <xf numFmtId="0" fontId="0" fillId="0" borderId="178" xfId="0" applyBorder="1" applyAlignment="1">
      <alignment horizontal="center"/>
    </xf>
    <xf numFmtId="0" fontId="0" fillId="0" borderId="186" xfId="0" applyBorder="1" applyAlignment="1">
      <alignment horizontal="center"/>
    </xf>
    <xf numFmtId="0" fontId="0" fillId="0" borderId="179" xfId="0" applyBorder="1" applyAlignment="1">
      <alignment horizontal="center"/>
    </xf>
    <xf numFmtId="0" fontId="39" fillId="0" borderId="189" xfId="4" applyFont="1" applyBorder="1" applyAlignment="1">
      <alignment horizontal="center" wrapText="1"/>
    </xf>
    <xf numFmtId="0" fontId="39" fillId="0" borderId="195" xfId="4" applyFont="1" applyBorder="1" applyAlignment="1">
      <alignment horizontal="center" wrapText="1"/>
    </xf>
    <xf numFmtId="0" fontId="39" fillId="0" borderId="198" xfId="4" applyFont="1" applyBorder="1" applyAlignment="1">
      <alignment horizontal="center" wrapText="1"/>
    </xf>
    <xf numFmtId="0" fontId="16" fillId="0" borderId="178" xfId="0" applyFont="1" applyBorder="1" applyAlignment="1">
      <alignment horizontal="center"/>
    </xf>
    <xf numFmtId="0" fontId="16" fillId="0" borderId="186" xfId="0" applyFont="1" applyBorder="1" applyAlignment="1">
      <alignment horizontal="center"/>
    </xf>
    <xf numFmtId="0" fontId="16" fillId="0" borderId="179" xfId="0" applyFont="1" applyBorder="1" applyAlignment="1">
      <alignment horizontal="center"/>
    </xf>
    <xf numFmtId="0" fontId="7" fillId="20" borderId="93" xfId="5" applyFont="1" applyFill="1" applyBorder="1" applyAlignment="1">
      <alignment horizontal="center" vertical="center" wrapText="1"/>
    </xf>
    <xf numFmtId="0" fontId="7" fillId="20" borderId="58" xfId="5" applyFont="1" applyFill="1" applyBorder="1" applyAlignment="1">
      <alignment horizontal="center" vertical="center"/>
    </xf>
    <xf numFmtId="0" fontId="7" fillId="20" borderId="90" xfId="5" applyFont="1" applyFill="1" applyBorder="1" applyAlignment="1">
      <alignment horizontal="center" vertical="center"/>
    </xf>
    <xf numFmtId="0" fontId="5" fillId="9" borderId="0" xfId="0" applyFont="1" applyFill="1" applyAlignment="1">
      <alignment horizontal="center" vertical="center" wrapText="1"/>
    </xf>
    <xf numFmtId="0" fontId="5" fillId="9" borderId="0" xfId="0" applyFont="1" applyFill="1" applyAlignment="1">
      <alignment horizontal="center" vertical="center"/>
    </xf>
    <xf numFmtId="0" fontId="6" fillId="0" borderId="1" xfId="0" applyFont="1" applyBorder="1" applyAlignment="1">
      <alignment horizontal="center" vertical="center" wrapText="1"/>
    </xf>
    <xf numFmtId="0" fontId="6" fillId="0" borderId="93" xfId="0" applyFont="1" applyBorder="1" applyAlignment="1">
      <alignment horizontal="center" vertical="center"/>
    </xf>
    <xf numFmtId="0" fontId="4" fillId="0" borderId="0" xfId="0" applyFont="1" applyAlignment="1">
      <alignment horizontal="right" vertical="center" wrapText="1"/>
    </xf>
    <xf numFmtId="0" fontId="0" fillId="0" borderId="0" xfId="0" applyAlignment="1">
      <alignment vertical="center" wrapText="1"/>
    </xf>
    <xf numFmtId="0" fontId="0" fillId="0" borderId="58" xfId="0" applyBorder="1" applyAlignment="1">
      <alignment vertical="center" wrapText="1"/>
    </xf>
    <xf numFmtId="0" fontId="7" fillId="13" borderId="1" xfId="0" applyFont="1" applyFill="1" applyBorder="1" applyAlignment="1">
      <alignment horizontal="center" vertical="center"/>
    </xf>
    <xf numFmtId="0" fontId="7" fillId="13" borderId="93" xfId="0" applyFont="1" applyFill="1" applyBorder="1" applyAlignment="1">
      <alignment horizontal="center" vertical="center"/>
    </xf>
    <xf numFmtId="0" fontId="7" fillId="13" borderId="105" xfId="0" applyFont="1" applyFill="1" applyBorder="1" applyAlignment="1">
      <alignment horizontal="center" vertical="center"/>
    </xf>
    <xf numFmtId="0" fontId="7" fillId="13" borderId="103" xfId="0" applyFont="1" applyFill="1" applyBorder="1" applyAlignment="1">
      <alignment horizontal="center" vertical="center"/>
    </xf>
    <xf numFmtId="0" fontId="4" fillId="0" borderId="99" xfId="0" quotePrefix="1" applyFont="1" applyBorder="1" applyAlignment="1">
      <alignment horizontal="center" vertical="center" wrapText="1"/>
    </xf>
    <xf numFmtId="0" fontId="4" fillId="0" borderId="101" xfId="0" applyFont="1" applyBorder="1" applyAlignment="1">
      <alignment horizontal="center" vertical="center" wrapText="1"/>
    </xf>
    <xf numFmtId="0" fontId="4" fillId="0" borderId="100" xfId="0" applyFont="1" applyBorder="1" applyAlignment="1">
      <alignment horizontal="center" vertical="center" wrapText="1"/>
    </xf>
    <xf numFmtId="0" fontId="7" fillId="10" borderId="1" xfId="0" applyFont="1" applyFill="1" applyBorder="1" applyAlignment="1">
      <alignment horizontal="center" vertical="center"/>
    </xf>
    <xf numFmtId="0" fontId="7" fillId="10" borderId="93" xfId="0" applyFont="1" applyFill="1" applyBorder="1" applyAlignment="1">
      <alignment horizontal="center" vertical="center"/>
    </xf>
    <xf numFmtId="0" fontId="7" fillId="10" borderId="105" xfId="0" applyFont="1" applyFill="1" applyBorder="1" applyAlignment="1">
      <alignment horizontal="center" vertical="center"/>
    </xf>
    <xf numFmtId="0" fontId="7" fillId="10" borderId="103" xfId="0" applyFont="1" applyFill="1" applyBorder="1" applyAlignment="1">
      <alignment horizontal="center" vertical="center"/>
    </xf>
    <xf numFmtId="0" fontId="4" fillId="0" borderId="3" xfId="0" quotePrefix="1" applyFont="1" applyBorder="1" applyAlignment="1">
      <alignment horizontal="center" vertical="center" wrapText="1"/>
    </xf>
    <xf numFmtId="0" fontId="4" fillId="0" borderId="0" xfId="0" applyFont="1" applyAlignment="1">
      <alignment horizontal="center" vertical="center" wrapText="1"/>
    </xf>
    <xf numFmtId="0" fontId="4" fillId="0" borderId="94" xfId="0" applyFont="1" applyBorder="1" applyAlignment="1">
      <alignment horizontal="center" vertical="center" wrapText="1"/>
    </xf>
    <xf numFmtId="0" fontId="7" fillId="0" borderId="95" xfId="0" applyFont="1" applyBorder="1" applyAlignment="1">
      <alignment horizontal="center" vertical="center" wrapText="1"/>
    </xf>
    <xf numFmtId="0" fontId="7" fillId="0" borderId="96" xfId="0" applyFont="1" applyBorder="1" applyAlignment="1">
      <alignment horizontal="center" vertical="center" wrapText="1"/>
    </xf>
    <xf numFmtId="0" fontId="7" fillId="0" borderId="97" xfId="0" applyFont="1" applyBorder="1" applyAlignment="1">
      <alignment horizontal="center" vertical="center" wrapText="1"/>
    </xf>
    <xf numFmtId="0" fontId="7" fillId="9" borderId="89" xfId="0" quotePrefix="1" applyFont="1" applyFill="1" applyBorder="1" applyAlignment="1">
      <alignment horizontal="center" vertical="center" wrapText="1"/>
    </xf>
    <xf numFmtId="0" fontId="7" fillId="9" borderId="58" xfId="0" applyFont="1" applyFill="1" applyBorder="1" applyAlignment="1">
      <alignment horizontal="center" vertical="center" wrapText="1"/>
    </xf>
    <xf numFmtId="0" fontId="7" fillId="9" borderId="90" xfId="0" applyFont="1" applyFill="1" applyBorder="1" applyAlignment="1">
      <alignment horizontal="center" vertical="center" wrapText="1"/>
    </xf>
    <xf numFmtId="0" fontId="10" fillId="0" borderId="28" xfId="0" quotePrefix="1" applyFont="1" applyBorder="1" applyAlignment="1">
      <alignment horizontal="left" vertical="center"/>
    </xf>
    <xf numFmtId="0" fontId="10" fillId="0" borderId="0" xfId="0" quotePrefix="1" applyFont="1" applyAlignment="1">
      <alignment horizontal="left" vertical="center"/>
    </xf>
    <xf numFmtId="0" fontId="6" fillId="0" borderId="91" xfId="0" applyFont="1" applyBorder="1" applyAlignment="1">
      <alignment horizontal="center" vertical="center" wrapText="1"/>
    </xf>
    <xf numFmtId="0" fontId="6" fillId="0" borderId="91" xfId="0" applyFont="1" applyBorder="1" applyAlignment="1">
      <alignment horizontal="center" vertical="center"/>
    </xf>
    <xf numFmtId="0" fontId="6" fillId="0" borderId="92" xfId="0" applyFont="1" applyBorder="1" applyAlignment="1">
      <alignment horizontal="center" vertical="center"/>
    </xf>
    <xf numFmtId="0" fontId="5" fillId="0" borderId="3" xfId="0" quotePrefix="1" applyFont="1" applyBorder="1" applyAlignment="1">
      <alignment horizontal="center" vertical="center"/>
    </xf>
    <xf numFmtId="0" fontId="5" fillId="0" borderId="93" xfId="0" quotePrefix="1" applyFont="1" applyBorder="1" applyAlignment="1">
      <alignment horizontal="center" vertical="center"/>
    </xf>
    <xf numFmtId="0" fontId="5" fillId="0" borderId="0" xfId="0" quotePrefix="1" applyFont="1" applyAlignment="1">
      <alignment horizontal="center" vertical="center"/>
    </xf>
    <xf numFmtId="0" fontId="5" fillId="0" borderId="58" xfId="0" quotePrefix="1" applyFont="1" applyBorder="1" applyAlignment="1">
      <alignment horizontal="center" vertical="center"/>
    </xf>
    <xf numFmtId="0" fontId="5" fillId="0" borderId="94" xfId="0" quotePrefix="1" applyFont="1" applyBorder="1" applyAlignment="1">
      <alignment horizontal="center" vertical="center"/>
    </xf>
    <xf numFmtId="0" fontId="5" fillId="0" borderId="90" xfId="0" quotePrefix="1" applyFont="1" applyBorder="1" applyAlignment="1">
      <alignment horizontal="center" vertical="center"/>
    </xf>
    <xf numFmtId="0" fontId="10" fillId="0" borderId="98" xfId="0" applyFont="1" applyBorder="1" applyAlignment="1">
      <alignment horizontal="left" vertical="center"/>
    </xf>
    <xf numFmtId="0" fontId="10" fillId="0" borderId="0" xfId="0" applyFont="1" applyAlignment="1">
      <alignment horizontal="left" vertical="center"/>
    </xf>
    <xf numFmtId="0" fontId="7" fillId="11" borderId="3" xfId="0" quotePrefix="1" applyFont="1" applyFill="1" applyBorder="1" applyAlignment="1">
      <alignment horizontal="center" vertical="center"/>
    </xf>
    <xf numFmtId="0" fontId="7" fillId="11" borderId="93" xfId="0" applyFont="1" applyFill="1" applyBorder="1" applyAlignment="1">
      <alignment horizontal="center" vertical="center"/>
    </xf>
    <xf numFmtId="0" fontId="7" fillId="11" borderId="102" xfId="0" applyFont="1" applyFill="1" applyBorder="1" applyAlignment="1">
      <alignment horizontal="center" vertical="center"/>
    </xf>
    <xf numFmtId="0" fontId="7" fillId="11" borderId="103" xfId="0" applyFont="1" applyFill="1" applyBorder="1" applyAlignment="1">
      <alignment horizontal="center" vertical="center"/>
    </xf>
    <xf numFmtId="0" fontId="7" fillId="0" borderId="104" xfId="0" applyFont="1" applyBorder="1" applyAlignment="1">
      <alignment horizontal="center" vertical="center"/>
    </xf>
    <xf numFmtId="0" fontId="7" fillId="0" borderId="91" xfId="0" applyFont="1" applyBorder="1" applyAlignment="1">
      <alignment horizontal="center" vertical="center"/>
    </xf>
    <xf numFmtId="0" fontId="4" fillId="0" borderId="132" xfId="0" quotePrefix="1" applyFont="1" applyBorder="1" applyAlignment="1">
      <alignment horizontal="center" vertical="center" wrapText="1"/>
    </xf>
    <xf numFmtId="0" fontId="4" fillId="0" borderId="134" xfId="0" applyFont="1" applyBorder="1" applyAlignment="1">
      <alignment horizontal="center" vertical="center" wrapText="1"/>
    </xf>
    <xf numFmtId="0" fontId="4" fillId="0" borderId="136" xfId="0" applyFont="1" applyBorder="1" applyAlignment="1">
      <alignment horizontal="center" vertical="center" wrapText="1"/>
    </xf>
    <xf numFmtId="0" fontId="6" fillId="0" borderId="153" xfId="0" applyFont="1" applyBorder="1" applyAlignment="1">
      <alignment horizontal="left" vertical="center"/>
    </xf>
    <xf numFmtId="0" fontId="6" fillId="0" borderId="154" xfId="0" applyFont="1" applyBorder="1" applyAlignment="1">
      <alignment horizontal="left" vertical="center"/>
    </xf>
    <xf numFmtId="0" fontId="7" fillId="9" borderId="143" xfId="0" quotePrefix="1" applyFont="1" applyFill="1" applyBorder="1" applyAlignment="1">
      <alignment horizontal="center" vertical="center" wrapText="1"/>
    </xf>
    <xf numFmtId="0" fontId="7" fillId="9" borderId="144" xfId="0" applyFont="1" applyFill="1" applyBorder="1" applyAlignment="1">
      <alignment horizontal="center" vertical="center" wrapText="1"/>
    </xf>
    <xf numFmtId="0" fontId="7" fillId="14" borderId="141" xfId="0" quotePrefix="1" applyFont="1" applyFill="1" applyBorder="1" applyAlignment="1">
      <alignment horizontal="center" vertical="center" wrapText="1"/>
    </xf>
    <xf numFmtId="0" fontId="7" fillId="14" borderId="142" xfId="0" applyFont="1" applyFill="1" applyBorder="1" applyAlignment="1">
      <alignment horizontal="center" vertical="center" wrapText="1"/>
    </xf>
    <xf numFmtId="0" fontId="7" fillId="15" borderId="141" xfId="0" quotePrefix="1" applyFont="1" applyFill="1" applyBorder="1" applyAlignment="1">
      <alignment horizontal="center" vertical="center" wrapText="1"/>
    </xf>
    <xf numFmtId="0" fontId="7" fillId="15" borderId="142" xfId="0" applyFont="1" applyFill="1" applyBorder="1" applyAlignment="1">
      <alignment horizontal="center" vertical="center" wrapText="1"/>
    </xf>
    <xf numFmtId="0" fontId="5" fillId="0" borderId="113" xfId="0" quotePrefix="1" applyFont="1" applyBorder="1" applyAlignment="1">
      <alignment horizontal="center" vertical="center"/>
    </xf>
    <xf numFmtId="0" fontId="5" fillId="0" borderId="114" xfId="0" quotePrefix="1" applyFont="1" applyBorder="1" applyAlignment="1">
      <alignment horizontal="center" vertical="center"/>
    </xf>
    <xf numFmtId="0" fontId="5" fillId="0" borderId="116" xfId="0" quotePrefix="1" applyFont="1" applyBorder="1" applyAlignment="1">
      <alignment horizontal="center" vertical="center"/>
    </xf>
    <xf numFmtId="0" fontId="5" fillId="0" borderId="127" xfId="0" quotePrefix="1" applyFont="1" applyBorder="1" applyAlignment="1">
      <alignment horizontal="center" vertical="center"/>
    </xf>
    <xf numFmtId="0" fontId="5" fillId="0" borderId="128" xfId="0" quotePrefix="1" applyFont="1" applyBorder="1" applyAlignment="1">
      <alignment horizontal="center" vertical="center"/>
    </xf>
    <xf numFmtId="0" fontId="7" fillId="0" borderId="125" xfId="0" applyFont="1" applyBorder="1" applyAlignment="1">
      <alignment horizontal="center" vertical="center"/>
    </xf>
    <xf numFmtId="0" fontId="6" fillId="0" borderId="102" xfId="0" applyFont="1" applyBorder="1" applyAlignment="1">
      <alignment horizontal="center" vertical="center" wrapText="1"/>
    </xf>
    <xf numFmtId="0" fontId="6" fillId="0" borderId="123" xfId="0" applyFont="1" applyBorder="1" applyAlignment="1">
      <alignment horizontal="center" vertical="center"/>
    </xf>
    <xf numFmtId="0" fontId="6" fillId="0" borderId="137" xfId="0" applyFont="1" applyBorder="1" applyAlignment="1">
      <alignment horizontal="center" vertical="center"/>
    </xf>
    <xf numFmtId="0" fontId="7" fillId="10" borderId="124" xfId="0" applyFont="1" applyFill="1" applyBorder="1" applyAlignment="1">
      <alignment horizontal="center" vertical="center" wrapText="1"/>
    </xf>
    <xf numFmtId="0" fontId="0" fillId="10" borderId="124" xfId="0" applyFill="1" applyBorder="1" applyAlignment="1">
      <alignment horizontal="center" vertical="center"/>
    </xf>
    <xf numFmtId="0" fontId="0" fillId="10" borderId="129" xfId="0" applyFill="1" applyBorder="1" applyAlignment="1">
      <alignment horizontal="center" vertical="center"/>
    </xf>
    <xf numFmtId="0" fontId="7" fillId="13" borderId="124" xfId="0" applyFont="1" applyFill="1" applyBorder="1" applyAlignment="1">
      <alignment horizontal="center" vertical="center"/>
    </xf>
    <xf numFmtId="0" fontId="0" fillId="13" borderId="124" xfId="0" applyFill="1" applyBorder="1" applyAlignment="1">
      <alignment horizontal="center" vertical="center"/>
    </xf>
    <xf numFmtId="0" fontId="7" fillId="13" borderId="138" xfId="0" applyFont="1" applyFill="1" applyBorder="1" applyAlignment="1">
      <alignment horizontal="center" vertical="center"/>
    </xf>
    <xf numFmtId="0" fontId="0" fillId="13" borderId="138" xfId="0" applyFill="1" applyBorder="1" applyAlignment="1">
      <alignment horizontal="center" vertical="center"/>
    </xf>
    <xf numFmtId="0" fontId="7" fillId="15" borderId="146" xfId="0" quotePrefix="1" applyFont="1" applyFill="1" applyBorder="1" applyAlignment="1">
      <alignment horizontal="center" vertical="center" wrapText="1"/>
    </xf>
    <xf numFmtId="0" fontId="7" fillId="15" borderId="147" xfId="0" applyFont="1" applyFill="1" applyBorder="1" applyAlignment="1">
      <alignment horizontal="center" vertical="center" wrapText="1"/>
    </xf>
    <xf numFmtId="0" fontId="5" fillId="0" borderId="0" xfId="0" applyFont="1" applyAlignment="1">
      <alignment horizontal="center" vertical="center" wrapText="1"/>
    </xf>
    <xf numFmtId="0" fontId="10" fillId="0" borderId="0" xfId="0" quotePrefix="1" applyFont="1" applyAlignment="1">
      <alignment horizontal="center" vertical="center" wrapText="1"/>
    </xf>
    <xf numFmtId="0" fontId="6" fillId="0" borderId="153" xfId="0" quotePrefix="1" applyFont="1" applyBorder="1" applyAlignment="1">
      <alignment horizontal="left" vertical="center"/>
    </xf>
    <xf numFmtId="0" fontId="6" fillId="0" borderId="154" xfId="0" quotePrefix="1" applyFont="1" applyBorder="1" applyAlignment="1">
      <alignment horizontal="left" vertical="center"/>
    </xf>
    <xf numFmtId="0" fontId="7" fillId="12" borderId="139" xfId="0" applyFont="1" applyFill="1" applyBorder="1" applyAlignment="1">
      <alignment horizontal="center" vertical="center" wrapText="1"/>
    </xf>
    <xf numFmtId="0" fontId="7" fillId="12" borderId="140" xfId="0" applyFont="1" applyFill="1" applyBorder="1" applyAlignment="1">
      <alignment horizontal="center" vertical="center" wrapText="1"/>
    </xf>
    <xf numFmtId="0" fontId="7" fillId="11" borderId="124" xfId="0" applyFont="1" applyFill="1" applyBorder="1" applyAlignment="1">
      <alignment horizontal="center" vertical="center"/>
    </xf>
    <xf numFmtId="0" fontId="7" fillId="11" borderId="138" xfId="0" applyFont="1" applyFill="1" applyBorder="1" applyAlignment="1">
      <alignment horizontal="center" vertical="center"/>
    </xf>
    <xf numFmtId="0" fontId="7" fillId="12" borderId="128" xfId="0" applyFont="1" applyFill="1" applyBorder="1" applyAlignment="1">
      <alignment horizontal="center" vertical="center" wrapText="1"/>
    </xf>
    <xf numFmtId="0" fontId="7" fillId="12" borderId="145" xfId="0" applyFont="1" applyFill="1" applyBorder="1" applyAlignment="1">
      <alignment horizontal="center" vertical="center" wrapText="1"/>
    </xf>
    <xf numFmtId="0" fontId="4" fillId="0" borderId="131" xfId="0" quotePrefix="1" applyFont="1" applyBorder="1" applyAlignment="1">
      <alignment horizontal="center" vertical="center" wrapText="1"/>
    </xf>
    <xf numFmtId="0" fontId="4" fillId="0" borderId="133" xfId="0" applyFont="1" applyBorder="1" applyAlignment="1">
      <alignment horizontal="center" vertical="center" wrapText="1"/>
    </xf>
    <xf numFmtId="0" fontId="4" fillId="0" borderId="135" xfId="0" applyFont="1" applyBorder="1" applyAlignment="1">
      <alignment horizontal="center" vertical="center" wrapText="1"/>
    </xf>
    <xf numFmtId="0" fontId="4" fillId="0" borderId="113" xfId="0" quotePrefix="1" applyFont="1" applyBorder="1" applyAlignment="1">
      <alignment horizontal="center" vertical="center" wrapText="1"/>
    </xf>
    <xf numFmtId="0" fontId="4" fillId="0" borderId="127" xfId="0" applyFont="1" applyBorder="1" applyAlignment="1">
      <alignment horizontal="center" vertical="center" wrapText="1"/>
    </xf>
    <xf numFmtId="0" fontId="12" fillId="0" borderId="0" xfId="0" applyFont="1" applyAlignment="1">
      <alignment horizontal="right" vertical="center" wrapText="1"/>
    </xf>
    <xf numFmtId="0" fontId="4" fillId="0" borderId="129" xfId="0" applyFont="1" applyBorder="1" applyAlignment="1">
      <alignment horizontal="center" vertical="center"/>
    </xf>
    <xf numFmtId="0" fontId="4" fillId="0" borderId="130" xfId="0" applyFont="1" applyBorder="1" applyAlignment="1">
      <alignment horizontal="center" vertical="center"/>
    </xf>
    <xf numFmtId="0" fontId="7" fillId="13" borderId="146" xfId="0" quotePrefix="1" applyFont="1" applyFill="1" applyBorder="1" applyAlignment="1">
      <alignment horizontal="center" vertical="center" wrapText="1"/>
    </xf>
    <xf numFmtId="0" fontId="7" fillId="13" borderId="147" xfId="0" applyFont="1" applyFill="1" applyBorder="1" applyAlignment="1">
      <alignment horizontal="center" vertical="center" wrapText="1"/>
    </xf>
    <xf numFmtId="0" fontId="7" fillId="13" borderId="141" xfId="0" quotePrefix="1" applyFont="1" applyFill="1" applyBorder="1" applyAlignment="1">
      <alignment horizontal="center" vertical="center" wrapText="1"/>
    </xf>
    <xf numFmtId="0" fontId="7" fillId="13" borderId="142" xfId="0" applyFont="1" applyFill="1" applyBorder="1" applyAlignment="1">
      <alignment horizontal="center" vertical="center" wrapText="1"/>
    </xf>
    <xf numFmtId="0" fontId="7" fillId="15" borderId="143" xfId="0" quotePrefix="1" applyFont="1" applyFill="1" applyBorder="1" applyAlignment="1">
      <alignment horizontal="center" vertical="center" wrapText="1"/>
    </xf>
    <xf numFmtId="0" fontId="7" fillId="15" borderId="144" xfId="0" applyFont="1" applyFill="1" applyBorder="1" applyAlignment="1">
      <alignment horizontal="center" vertical="center" wrapText="1"/>
    </xf>
    <xf numFmtId="0" fontId="7" fillId="16" borderId="146" xfId="0" quotePrefix="1" applyFont="1" applyFill="1" applyBorder="1" applyAlignment="1">
      <alignment horizontal="center" vertical="center" wrapText="1"/>
    </xf>
    <xf numFmtId="0" fontId="7" fillId="16" borderId="147" xfId="0" applyFont="1" applyFill="1" applyBorder="1" applyAlignment="1">
      <alignment horizontal="center" vertical="center" wrapText="1"/>
    </xf>
    <xf numFmtId="0" fontId="7" fillId="16" borderId="141" xfId="0" quotePrefix="1" applyFont="1" applyFill="1" applyBorder="1" applyAlignment="1">
      <alignment horizontal="center" vertical="center" wrapText="1"/>
    </xf>
    <xf numFmtId="0" fontId="7" fillId="16" borderId="142" xfId="0" applyFont="1" applyFill="1" applyBorder="1" applyAlignment="1">
      <alignment horizontal="center" vertical="center" wrapText="1"/>
    </xf>
    <xf numFmtId="0" fontId="7" fillId="13" borderId="143" xfId="0" quotePrefix="1" applyFont="1" applyFill="1" applyBorder="1" applyAlignment="1">
      <alignment horizontal="center" vertical="center" wrapText="1"/>
    </xf>
    <xf numFmtId="0" fontId="7" fillId="13" borderId="144" xfId="0" applyFont="1" applyFill="1" applyBorder="1" applyAlignment="1">
      <alignment horizontal="center" vertical="center" wrapText="1"/>
    </xf>
    <xf numFmtId="0" fontId="68" fillId="0" borderId="0" xfId="0" applyFont="1"/>
    <xf numFmtId="0" fontId="69" fillId="0" borderId="0" xfId="0" applyFont="1"/>
    <xf numFmtId="0" fontId="72" fillId="0" borderId="0" xfId="0" applyFont="1"/>
    <xf numFmtId="167" fontId="71" fillId="0" borderId="240" xfId="0" applyNumberFormat="1" applyFont="1" applyBorder="1" applyAlignment="1">
      <alignment horizontal="right"/>
    </xf>
    <xf numFmtId="6" fontId="4" fillId="0" borderId="0" xfId="5" applyNumberFormat="1" applyFont="1"/>
  </cellXfs>
  <cellStyles count="9">
    <cellStyle name="Comma" xfId="2" builtinId="3"/>
    <cellStyle name="Comma 2" xfId="3" xr:uid="{30214437-41D1-4D5F-A9F4-FF44AC9B6AA6}"/>
    <cellStyle name="Normal" xfId="0" builtinId="0"/>
    <cellStyle name="Normal 2" xfId="4" xr:uid="{DE47C09C-2A4B-4C7A-8CDF-D774139BA81F}"/>
    <cellStyle name="Normal 3" xfId="5" xr:uid="{86BF1862-73E2-4F5B-875C-68F0233F8775}"/>
    <cellStyle name="Normal 3 2" xfId="7" xr:uid="{606C6EE3-D70C-408A-B139-C98506A6F2DC}"/>
    <cellStyle name="Normal 4" xfId="6" xr:uid="{AF4A7524-6A4B-4171-BD28-952767C9C61D}"/>
    <cellStyle name="Normal 5" xfId="8" xr:uid="{74A08773-98BB-40D6-98A4-8708282EA29F}"/>
    <cellStyle name="Percent"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G:\Shared%20drives\FIN-LA\ReDesign%20Schools%20Louisiana\Compliance\24-25%20LDOE%20Reports\Budget%20Form%20A\Lanier.2024-2025-Final%20annual-and-quarterly-financial-reports-Budget%20Form%20A-Semi-Annual%20V.xlsx" TargetMode="External"/><Relationship Id="rId1" Type="http://schemas.openxmlformats.org/officeDocument/2006/relationships/externalLinkPath" Target="Lanier.2024-2025-Final%20annual-and-quarterly-financial-reports-Budget%20Form%20A-Semi-Annual%20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bmission Dates"/>
      <sheetName val="SemiAnnual Budget 1 Upload"/>
      <sheetName val="FY 24-25 Budget Form A"/>
      <sheetName val="FBT"/>
      <sheetName val="FY24"/>
      <sheetName val="Form A Mapping"/>
      <sheetName val="P&amp;L SR 1"/>
      <sheetName val="P&amp;L 1"/>
      <sheetName val="Instruc Annual Budget "/>
      <sheetName val="P&amp;L 2"/>
      <sheetName val="P&amp;L SR 2"/>
      <sheetName val="Annual Budget "/>
      <sheetName val="Instruc Qtrly Budget"/>
      <sheetName val="Qtr 1 Budget"/>
      <sheetName val="Qtr 2 Budget"/>
      <sheetName val="Qtr 3 Budget"/>
      <sheetName val="Master Mapp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15"/>
  <sheetViews>
    <sheetView workbookViewId="0">
      <selection activeCell="B8" sqref="B8"/>
    </sheetView>
  </sheetViews>
  <sheetFormatPr defaultColWidth="8.84375" defaultRowHeight="15.5"/>
  <cols>
    <col min="1" max="1" width="13.53515625" style="133" customWidth="1"/>
    <col min="2" max="2" width="43.4609375" style="133" customWidth="1"/>
    <col min="3" max="16384" width="8.84375" style="133"/>
  </cols>
  <sheetData>
    <row r="1" spans="1:2" s="468" customFormat="1" ht="18">
      <c r="A1" s="468" t="s">
        <v>215</v>
      </c>
      <c r="B1" s="468" t="s">
        <v>216</v>
      </c>
    </row>
    <row r="2" spans="1:2">
      <c r="A2" s="465" t="s">
        <v>217</v>
      </c>
      <c r="B2" s="469" t="s">
        <v>222</v>
      </c>
    </row>
    <row r="3" spans="1:2" ht="54" customHeight="1">
      <c r="B3" s="467" t="s">
        <v>227</v>
      </c>
    </row>
    <row r="4" spans="1:2">
      <c r="B4" s="467"/>
    </row>
    <row r="5" spans="1:2">
      <c r="A5" s="466" t="s">
        <v>218</v>
      </c>
      <c r="B5" s="469" t="s">
        <v>223</v>
      </c>
    </row>
    <row r="6" spans="1:2" ht="54" customHeight="1">
      <c r="B6" s="467" t="s">
        <v>228</v>
      </c>
    </row>
    <row r="7" spans="1:2">
      <c r="B7" s="467"/>
    </row>
    <row r="8" spans="1:2">
      <c r="A8" s="466" t="s">
        <v>219</v>
      </c>
      <c r="B8" s="469" t="s">
        <v>224</v>
      </c>
    </row>
    <row r="9" spans="1:2" ht="54" customHeight="1">
      <c r="B9" s="467" t="s">
        <v>229</v>
      </c>
    </row>
    <row r="10" spans="1:2">
      <c r="B10" s="467"/>
    </row>
    <row r="11" spans="1:2">
      <c r="A11" s="466" t="s">
        <v>220</v>
      </c>
      <c r="B11" s="469" t="s">
        <v>225</v>
      </c>
    </row>
    <row r="12" spans="1:2" ht="54" customHeight="1">
      <c r="B12" s="467" t="s">
        <v>231</v>
      </c>
    </row>
    <row r="13" spans="1:2">
      <c r="B13" s="467"/>
    </row>
    <row r="14" spans="1:2">
      <c r="A14" s="466" t="s">
        <v>221</v>
      </c>
      <c r="B14" s="469" t="s">
        <v>226</v>
      </c>
    </row>
    <row r="15" spans="1:2" ht="39" customHeight="1">
      <c r="B15" s="467" t="s">
        <v>230</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B3386-E605-46AB-96C8-9923B7F1FB33}">
  <sheetPr codeName="Sheet3"/>
  <dimension ref="A1:AM156"/>
  <sheetViews>
    <sheetView topLeftCell="E126" zoomScale="110" zoomScaleNormal="110" workbookViewId="0">
      <selection activeCell="F150" sqref="F150"/>
    </sheetView>
  </sheetViews>
  <sheetFormatPr defaultColWidth="10.53515625" defaultRowHeight="15.5"/>
  <cols>
    <col min="1" max="1" width="12.07421875" style="478" bestFit="1" customWidth="1"/>
    <col min="2" max="2" width="8.84375" style="478" bestFit="1" customWidth="1"/>
    <col min="3" max="4" width="8.84375" style="478" customWidth="1"/>
    <col min="5" max="5" width="35.53515625" bestFit="1" customWidth="1"/>
    <col min="36" max="36" width="12.07421875" bestFit="1" customWidth="1"/>
    <col min="37" max="37" width="11.53515625" bestFit="1" customWidth="1"/>
    <col min="39" max="39" width="11.53515625" bestFit="1" customWidth="1"/>
  </cols>
  <sheetData>
    <row r="1" spans="1:37">
      <c r="B1" s="478" t="str">
        <f>LEFT(TRIM(E1), 7)</f>
        <v/>
      </c>
      <c r="F1" s="604" t="s">
        <v>724</v>
      </c>
      <c r="G1" s="604" t="s">
        <v>262</v>
      </c>
      <c r="H1" s="604" t="s">
        <v>430</v>
      </c>
      <c r="I1" s="604" t="s">
        <v>431</v>
      </c>
      <c r="J1" s="604" t="s">
        <v>432</v>
      </c>
      <c r="K1" s="604" t="s">
        <v>433</v>
      </c>
      <c r="L1" s="604" t="s">
        <v>725</v>
      </c>
      <c r="M1" s="604" t="s">
        <v>434</v>
      </c>
      <c r="N1" s="604" t="s">
        <v>435</v>
      </c>
      <c r="O1" s="604" t="s">
        <v>436</v>
      </c>
      <c r="P1" s="604" t="s">
        <v>437</v>
      </c>
      <c r="Q1" s="604" t="s">
        <v>438</v>
      </c>
      <c r="R1" s="604" t="s">
        <v>726</v>
      </c>
      <c r="S1" s="604" t="s">
        <v>439</v>
      </c>
      <c r="T1" s="604" t="s">
        <v>263</v>
      </c>
      <c r="U1" s="604" t="s">
        <v>281</v>
      </c>
      <c r="V1" s="604" t="s">
        <v>440</v>
      </c>
      <c r="W1" s="604" t="s">
        <v>727</v>
      </c>
      <c r="X1" s="604" t="s">
        <v>264</v>
      </c>
      <c r="Y1" s="604" t="s">
        <v>264</v>
      </c>
      <c r="Z1" s="607"/>
      <c r="AA1" s="607"/>
      <c r="AB1" s="607"/>
      <c r="AC1" s="607"/>
      <c r="AJ1" t="s">
        <v>260</v>
      </c>
      <c r="AK1" t="s">
        <v>261</v>
      </c>
    </row>
    <row r="2" spans="1:37">
      <c r="A2" s="478" t="s">
        <v>276</v>
      </c>
      <c r="B2" s="478" t="s">
        <v>277</v>
      </c>
      <c r="C2" s="478" t="s">
        <v>583</v>
      </c>
      <c r="D2" s="478" t="s">
        <v>578</v>
      </c>
      <c r="E2" s="608" t="s">
        <v>441</v>
      </c>
      <c r="F2" s="607"/>
      <c r="G2" s="607"/>
      <c r="H2" s="607"/>
      <c r="I2" s="607"/>
      <c r="J2" s="607"/>
      <c r="K2" s="607"/>
      <c r="L2" s="607"/>
      <c r="M2" s="607"/>
      <c r="N2" s="607"/>
      <c r="O2" s="607"/>
      <c r="P2" s="607"/>
      <c r="Q2" s="607"/>
      <c r="R2" s="607"/>
      <c r="S2" s="607"/>
      <c r="T2" s="607"/>
      <c r="U2" s="607"/>
      <c r="V2" s="607"/>
      <c r="W2" s="607"/>
      <c r="X2" s="607"/>
      <c r="Y2" s="607"/>
      <c r="Z2" s="607"/>
      <c r="AA2" s="607"/>
      <c r="AB2" s="607"/>
      <c r="AC2" s="607"/>
      <c r="AJ2" s="482">
        <f>Y2-AK2</f>
        <v>0</v>
      </c>
      <c r="AK2" s="482">
        <f>H2+I2+J2+K2+L2+M2+N2+O2+R2+S2+T2+U2+V2</f>
        <v>0</v>
      </c>
    </row>
    <row r="3" spans="1:37">
      <c r="E3" s="608" t="s">
        <v>442</v>
      </c>
      <c r="F3" s="607"/>
      <c r="G3" s="607"/>
      <c r="H3" s="607"/>
      <c r="I3" s="607"/>
      <c r="J3" s="607"/>
      <c r="K3" s="607"/>
      <c r="L3" s="607"/>
      <c r="M3" s="607"/>
      <c r="N3" s="607"/>
      <c r="O3" s="607"/>
      <c r="P3" s="607"/>
      <c r="Q3" s="607"/>
      <c r="R3" s="607"/>
      <c r="S3" s="607"/>
      <c r="T3" s="607"/>
      <c r="U3" s="607"/>
      <c r="V3" s="607"/>
      <c r="W3" s="605">
        <f t="shared" ref="W3:W25" si="0">((((((((((((((((F3)+(G3))+(H3))+(I3))+(J3))+(K3))+(L3))+(M3))+(N3))+(O3))+(P3))+(Q3))+(R3))+(S3))+(T3))+(U3))+(V3)</f>
        <v>0</v>
      </c>
      <c r="X3" s="605">
        <f t="shared" ref="X3:Y25" si="1">W3</f>
        <v>0</v>
      </c>
      <c r="Y3" s="605">
        <f t="shared" si="1"/>
        <v>0</v>
      </c>
      <c r="Z3" s="607"/>
      <c r="AA3" s="607"/>
      <c r="AB3" s="607"/>
      <c r="AC3" s="607"/>
      <c r="AJ3" s="482">
        <f t="shared" ref="AJ3:AJ66" si="2">Y3-AK3</f>
        <v>0</v>
      </c>
      <c r="AK3" s="482">
        <f t="shared" ref="AK3:AK66" si="3">H3+I3+J3+K3+L3+M3+N3+O3+R3+S3+T3+U3+V3</f>
        <v>0</v>
      </c>
    </row>
    <row r="4" spans="1:37">
      <c r="A4" s="478">
        <v>8</v>
      </c>
      <c r="B4" s="478" t="str">
        <f>LEFT(TRIM(E4), 7)</f>
        <v>1910000</v>
      </c>
      <c r="D4" s="478">
        <v>1</v>
      </c>
      <c r="E4" s="608" t="s">
        <v>728</v>
      </c>
      <c r="F4" s="605">
        <v>32120.53</v>
      </c>
      <c r="G4" s="607"/>
      <c r="H4" s="607"/>
      <c r="I4" s="607"/>
      <c r="J4" s="607"/>
      <c r="K4" s="607"/>
      <c r="L4" s="607"/>
      <c r="M4" s="607"/>
      <c r="N4" s="607"/>
      <c r="O4" s="607"/>
      <c r="P4" s="607"/>
      <c r="Q4" s="607"/>
      <c r="R4" s="607"/>
      <c r="S4" s="607"/>
      <c r="T4" s="607"/>
      <c r="U4" s="607"/>
      <c r="V4" s="607"/>
      <c r="W4" s="605">
        <f t="shared" si="0"/>
        <v>32120.53</v>
      </c>
      <c r="X4" s="605">
        <f t="shared" si="1"/>
        <v>32120.53</v>
      </c>
      <c r="Y4" s="605">
        <f t="shared" si="1"/>
        <v>32120.53</v>
      </c>
      <c r="Z4" s="607"/>
      <c r="AA4" s="607"/>
      <c r="AB4" s="607"/>
      <c r="AC4" s="607"/>
      <c r="AJ4" s="482">
        <f t="shared" si="2"/>
        <v>32120.53</v>
      </c>
      <c r="AK4" s="482">
        <f t="shared" si="3"/>
        <v>0</v>
      </c>
    </row>
    <row r="5" spans="1:37">
      <c r="A5" s="478">
        <v>7</v>
      </c>
      <c r="B5" s="478" t="str">
        <f>LEFT(TRIM(E5), 7)</f>
        <v>1994000</v>
      </c>
      <c r="D5" s="478">
        <v>1</v>
      </c>
      <c r="E5" s="608" t="s">
        <v>265</v>
      </c>
      <c r="F5" s="605">
        <f>1267230</f>
        <v>1267230</v>
      </c>
      <c r="G5" s="607"/>
      <c r="H5" s="607"/>
      <c r="I5" s="607"/>
      <c r="J5" s="607"/>
      <c r="K5" s="607"/>
      <c r="L5" s="607"/>
      <c r="M5" s="607"/>
      <c r="N5" s="607"/>
      <c r="O5" s="607"/>
      <c r="P5" s="607"/>
      <c r="Q5" s="607"/>
      <c r="R5" s="607"/>
      <c r="S5" s="607"/>
      <c r="T5" s="607"/>
      <c r="U5" s="607"/>
      <c r="V5" s="607"/>
      <c r="W5" s="605">
        <f t="shared" si="0"/>
        <v>1267230</v>
      </c>
      <c r="X5" s="605">
        <f t="shared" si="1"/>
        <v>1267230</v>
      </c>
      <c r="Y5" s="605">
        <f t="shared" si="1"/>
        <v>1267230</v>
      </c>
      <c r="Z5" s="607"/>
      <c r="AA5" s="607"/>
      <c r="AB5" s="607"/>
      <c r="AC5" s="607"/>
      <c r="AJ5" s="482">
        <f t="shared" si="2"/>
        <v>1267230</v>
      </c>
      <c r="AK5" s="482">
        <f t="shared" si="3"/>
        <v>0</v>
      </c>
    </row>
    <row r="6" spans="1:37">
      <c r="A6" s="478">
        <v>8</v>
      </c>
      <c r="B6" s="478" t="str">
        <f>LEFT(TRIM(E6), 7)</f>
        <v>1999000</v>
      </c>
      <c r="D6" s="478">
        <v>1</v>
      </c>
      <c r="E6" s="608" t="s">
        <v>443</v>
      </c>
      <c r="F6" s="605">
        <f>701.8</f>
        <v>701.8</v>
      </c>
      <c r="G6" s="607"/>
      <c r="H6" s="607"/>
      <c r="I6" s="607"/>
      <c r="J6" s="607"/>
      <c r="K6" s="607"/>
      <c r="L6" s="607"/>
      <c r="M6" s="607"/>
      <c r="N6" s="607"/>
      <c r="O6" s="607"/>
      <c r="P6" s="607"/>
      <c r="Q6" s="607"/>
      <c r="R6" s="607"/>
      <c r="S6" s="607"/>
      <c r="T6" s="607"/>
      <c r="U6" s="607"/>
      <c r="V6" s="607"/>
      <c r="W6" s="605">
        <f t="shared" si="0"/>
        <v>701.8</v>
      </c>
      <c r="X6" s="605">
        <f t="shared" si="1"/>
        <v>701.8</v>
      </c>
      <c r="Y6" s="605">
        <f t="shared" si="1"/>
        <v>701.8</v>
      </c>
      <c r="Z6" s="607"/>
      <c r="AA6" s="607"/>
      <c r="AB6" s="607"/>
      <c r="AC6" s="607"/>
      <c r="AJ6" s="482">
        <f t="shared" si="2"/>
        <v>701.8</v>
      </c>
      <c r="AK6" s="482">
        <f t="shared" si="3"/>
        <v>0</v>
      </c>
    </row>
    <row r="7" spans="1:37">
      <c r="E7" s="608" t="s">
        <v>444</v>
      </c>
      <c r="F7" s="606">
        <f t="shared" ref="F7:V7" si="4">(((F3)+(F4))+(F5))+(F6)</f>
        <v>1300052.33</v>
      </c>
      <c r="G7" s="606">
        <f t="shared" si="4"/>
        <v>0</v>
      </c>
      <c r="H7" s="606">
        <f t="shared" si="4"/>
        <v>0</v>
      </c>
      <c r="I7" s="606">
        <f t="shared" si="4"/>
        <v>0</v>
      </c>
      <c r="J7" s="606">
        <f t="shared" si="4"/>
        <v>0</v>
      </c>
      <c r="K7" s="606">
        <f t="shared" si="4"/>
        <v>0</v>
      </c>
      <c r="L7" s="606">
        <f t="shared" si="4"/>
        <v>0</v>
      </c>
      <c r="M7" s="606">
        <f t="shared" si="4"/>
        <v>0</v>
      </c>
      <c r="N7" s="606">
        <f t="shared" si="4"/>
        <v>0</v>
      </c>
      <c r="O7" s="606">
        <f t="shared" si="4"/>
        <v>0</v>
      </c>
      <c r="P7" s="606">
        <f t="shared" si="4"/>
        <v>0</v>
      </c>
      <c r="Q7" s="606">
        <f t="shared" si="4"/>
        <v>0</v>
      </c>
      <c r="R7" s="606">
        <f t="shared" si="4"/>
        <v>0</v>
      </c>
      <c r="S7" s="606">
        <f t="shared" si="4"/>
        <v>0</v>
      </c>
      <c r="T7" s="606">
        <f t="shared" si="4"/>
        <v>0</v>
      </c>
      <c r="U7" s="606">
        <f t="shared" si="4"/>
        <v>0</v>
      </c>
      <c r="V7" s="606">
        <f t="shared" si="4"/>
        <v>0</v>
      </c>
      <c r="W7" s="606">
        <f t="shared" si="0"/>
        <v>1300052.33</v>
      </c>
      <c r="X7" s="606">
        <f t="shared" si="1"/>
        <v>1300052.33</v>
      </c>
      <c r="Y7" s="605">
        <f t="shared" si="1"/>
        <v>1300052.33</v>
      </c>
      <c r="Z7" s="607"/>
      <c r="AA7" s="607"/>
      <c r="AB7" s="607"/>
      <c r="AC7" s="607"/>
      <c r="AJ7" s="482">
        <f t="shared" si="2"/>
        <v>1300052.33</v>
      </c>
      <c r="AK7" s="482">
        <f t="shared" si="3"/>
        <v>0</v>
      </c>
    </row>
    <row r="8" spans="1:37">
      <c r="E8" s="608" t="s">
        <v>445</v>
      </c>
      <c r="F8" s="607"/>
      <c r="G8" s="607"/>
      <c r="H8" s="607"/>
      <c r="I8" s="607"/>
      <c r="J8" s="607"/>
      <c r="K8" s="607"/>
      <c r="L8" s="607"/>
      <c r="M8" s="607"/>
      <c r="N8" s="607"/>
      <c r="O8" s="607"/>
      <c r="P8" s="607"/>
      <c r="Q8" s="607"/>
      <c r="R8" s="607"/>
      <c r="S8" s="607"/>
      <c r="T8" s="607"/>
      <c r="U8" s="607"/>
      <c r="V8" s="607"/>
      <c r="W8" s="605">
        <f t="shared" si="0"/>
        <v>0</v>
      </c>
      <c r="X8" s="605">
        <f t="shared" si="1"/>
        <v>0</v>
      </c>
      <c r="Y8" s="605">
        <f t="shared" si="1"/>
        <v>0</v>
      </c>
      <c r="Z8" s="607"/>
      <c r="AA8" s="607"/>
      <c r="AB8" s="607"/>
      <c r="AC8" s="607"/>
      <c r="AJ8" s="482">
        <f t="shared" si="2"/>
        <v>0</v>
      </c>
      <c r="AK8" s="482">
        <f t="shared" si="3"/>
        <v>0</v>
      </c>
    </row>
    <row r="9" spans="1:37">
      <c r="A9" s="478">
        <v>16</v>
      </c>
      <c r="B9" s="478" t="str">
        <f>LEFT(TRIM(E9), 7)</f>
        <v>3110000</v>
      </c>
      <c r="D9" s="478">
        <v>3</v>
      </c>
      <c r="E9" s="608" t="s">
        <v>266</v>
      </c>
      <c r="F9" s="605">
        <f>745018</f>
        <v>745018</v>
      </c>
      <c r="G9" s="607"/>
      <c r="H9" s="607"/>
      <c r="I9" s="607"/>
      <c r="J9" s="607"/>
      <c r="K9" s="607"/>
      <c r="L9" s="607"/>
      <c r="M9" s="607"/>
      <c r="N9" s="607"/>
      <c r="O9" s="607"/>
      <c r="P9" s="605">
        <f>66018</f>
        <v>66018</v>
      </c>
      <c r="Q9" s="605">
        <f>7614</f>
        <v>7614</v>
      </c>
      <c r="R9" s="607"/>
      <c r="S9" s="607"/>
      <c r="T9" s="607"/>
      <c r="U9" s="607"/>
      <c r="V9" s="607"/>
      <c r="W9" s="605">
        <f t="shared" si="0"/>
        <v>818650</v>
      </c>
      <c r="X9" s="605">
        <f t="shared" si="1"/>
        <v>818650</v>
      </c>
      <c r="Y9" s="605">
        <f t="shared" si="1"/>
        <v>818650</v>
      </c>
      <c r="Z9" s="607"/>
      <c r="AA9" s="607"/>
      <c r="AB9" s="607"/>
      <c r="AC9" s="607"/>
      <c r="AJ9" s="482">
        <f t="shared" si="2"/>
        <v>818650</v>
      </c>
      <c r="AK9" s="482">
        <f t="shared" si="3"/>
        <v>0</v>
      </c>
    </row>
    <row r="10" spans="1:37">
      <c r="A10" s="478">
        <v>19</v>
      </c>
      <c r="B10" s="478" t="str">
        <f>LEFT(TRIM(E10), 7)</f>
        <v>3220000</v>
      </c>
      <c r="D10" s="478">
        <v>2</v>
      </c>
      <c r="E10" s="608" t="s">
        <v>267</v>
      </c>
      <c r="F10" s="607"/>
      <c r="G10" s="605">
        <f>11366</f>
        <v>11366</v>
      </c>
      <c r="H10" s="607"/>
      <c r="I10" s="607"/>
      <c r="J10" s="607"/>
      <c r="K10" s="607"/>
      <c r="L10" s="607"/>
      <c r="M10" s="607"/>
      <c r="N10" s="607"/>
      <c r="O10" s="607"/>
      <c r="P10" s="607"/>
      <c r="Q10" s="607"/>
      <c r="R10" s="607"/>
      <c r="S10" s="607"/>
      <c r="T10" s="607"/>
      <c r="U10" s="607"/>
      <c r="V10" s="607"/>
      <c r="W10" s="605">
        <f t="shared" si="0"/>
        <v>11366</v>
      </c>
      <c r="X10" s="605">
        <f t="shared" si="1"/>
        <v>11366</v>
      </c>
      <c r="Y10" s="605">
        <f t="shared" si="1"/>
        <v>11366</v>
      </c>
      <c r="Z10" s="607"/>
      <c r="AA10" s="607"/>
      <c r="AB10" s="607"/>
      <c r="AC10" s="607"/>
      <c r="AJ10" s="482">
        <f t="shared" si="2"/>
        <v>11366</v>
      </c>
      <c r="AK10" s="482">
        <f t="shared" si="3"/>
        <v>0</v>
      </c>
    </row>
    <row r="11" spans="1:37">
      <c r="A11" s="478">
        <v>24</v>
      </c>
      <c r="B11" s="478" t="str">
        <f>LEFT(TRIM(E11), 7)</f>
        <v>3290000</v>
      </c>
      <c r="D11" s="478">
        <v>2</v>
      </c>
      <c r="E11" s="608" t="s">
        <v>446</v>
      </c>
      <c r="F11" s="605">
        <f>500</f>
        <v>500</v>
      </c>
      <c r="G11" s="607"/>
      <c r="H11" s="607"/>
      <c r="I11" s="607"/>
      <c r="J11" s="607"/>
      <c r="K11" s="607"/>
      <c r="L11" s="607"/>
      <c r="M11" s="607"/>
      <c r="N11" s="607"/>
      <c r="O11" s="607"/>
      <c r="P11" s="607"/>
      <c r="Q11" s="607"/>
      <c r="R11" s="607"/>
      <c r="S11" s="607"/>
      <c r="T11" s="607"/>
      <c r="U11" s="607"/>
      <c r="V11" s="607"/>
      <c r="W11" s="605">
        <f t="shared" si="0"/>
        <v>500</v>
      </c>
      <c r="X11" s="605">
        <f t="shared" si="1"/>
        <v>500</v>
      </c>
      <c r="Y11" s="605">
        <f t="shared" si="1"/>
        <v>500</v>
      </c>
      <c r="Z11" s="607"/>
      <c r="AA11" s="607"/>
      <c r="AB11" s="607"/>
      <c r="AC11" s="607"/>
      <c r="AJ11" s="482">
        <f t="shared" si="2"/>
        <v>500</v>
      </c>
      <c r="AK11" s="482">
        <f t="shared" si="3"/>
        <v>0</v>
      </c>
    </row>
    <row r="12" spans="1:37">
      <c r="E12" s="608" t="s">
        <v>447</v>
      </c>
      <c r="F12" s="606">
        <f t="shared" ref="F12:V12" si="5">(((F8)+(F9))+(F10))+(F11)</f>
        <v>745518</v>
      </c>
      <c r="G12" s="606">
        <f t="shared" si="5"/>
        <v>11366</v>
      </c>
      <c r="H12" s="606">
        <f t="shared" si="5"/>
        <v>0</v>
      </c>
      <c r="I12" s="606">
        <f t="shared" si="5"/>
        <v>0</v>
      </c>
      <c r="J12" s="606">
        <f t="shared" si="5"/>
        <v>0</v>
      </c>
      <c r="K12" s="606">
        <f t="shared" si="5"/>
        <v>0</v>
      </c>
      <c r="L12" s="606">
        <f t="shared" si="5"/>
        <v>0</v>
      </c>
      <c r="M12" s="606">
        <f t="shared" si="5"/>
        <v>0</v>
      </c>
      <c r="N12" s="606">
        <f t="shared" si="5"/>
        <v>0</v>
      </c>
      <c r="O12" s="606">
        <f t="shared" si="5"/>
        <v>0</v>
      </c>
      <c r="P12" s="606">
        <f t="shared" si="5"/>
        <v>66018</v>
      </c>
      <c r="Q12" s="606">
        <f t="shared" si="5"/>
        <v>7614</v>
      </c>
      <c r="R12" s="606">
        <f t="shared" si="5"/>
        <v>0</v>
      </c>
      <c r="S12" s="606">
        <f t="shared" si="5"/>
        <v>0</v>
      </c>
      <c r="T12" s="606">
        <f t="shared" si="5"/>
        <v>0</v>
      </c>
      <c r="U12" s="606">
        <f t="shared" si="5"/>
        <v>0</v>
      </c>
      <c r="V12" s="606">
        <f t="shared" si="5"/>
        <v>0</v>
      </c>
      <c r="W12" s="606">
        <f t="shared" si="0"/>
        <v>830516</v>
      </c>
      <c r="X12" s="606">
        <f t="shared" si="1"/>
        <v>830516</v>
      </c>
      <c r="Y12" s="605">
        <f t="shared" si="1"/>
        <v>830516</v>
      </c>
      <c r="Z12" s="607"/>
      <c r="AA12" s="607"/>
      <c r="AB12" s="607"/>
      <c r="AC12" s="607"/>
      <c r="AJ12" s="482">
        <f t="shared" si="2"/>
        <v>830516</v>
      </c>
      <c r="AK12" s="482">
        <f t="shared" si="3"/>
        <v>0</v>
      </c>
    </row>
    <row r="13" spans="1:37">
      <c r="E13" s="608" t="s">
        <v>448</v>
      </c>
      <c r="F13" s="607"/>
      <c r="G13" s="607"/>
      <c r="H13" s="607"/>
      <c r="I13" s="607"/>
      <c r="J13" s="607"/>
      <c r="K13" s="607"/>
      <c r="L13" s="607"/>
      <c r="M13" s="607"/>
      <c r="N13" s="607"/>
      <c r="O13" s="607"/>
      <c r="P13" s="607"/>
      <c r="Q13" s="607"/>
      <c r="R13" s="607"/>
      <c r="S13" s="607"/>
      <c r="T13" s="607"/>
      <c r="U13" s="607"/>
      <c r="V13" s="607"/>
      <c r="W13" s="605">
        <f t="shared" si="0"/>
        <v>0</v>
      </c>
      <c r="X13" s="605">
        <f t="shared" si="1"/>
        <v>0</v>
      </c>
      <c r="Y13" s="605">
        <f t="shared" si="1"/>
        <v>0</v>
      </c>
      <c r="Z13" s="607"/>
      <c r="AA13" s="607"/>
      <c r="AB13" s="607"/>
      <c r="AC13" s="607"/>
      <c r="AJ13" s="482">
        <f t="shared" si="2"/>
        <v>0</v>
      </c>
      <c r="AK13" s="482">
        <f t="shared" si="3"/>
        <v>0</v>
      </c>
    </row>
    <row r="14" spans="1:37">
      <c r="B14" s="478" t="str">
        <f t="shared" ref="B14:B22" si="6">LEFT(TRIM(E14), 7)</f>
        <v>4340000</v>
      </c>
      <c r="E14" s="608" t="s">
        <v>729</v>
      </c>
      <c r="F14" s="605"/>
      <c r="G14" s="607"/>
      <c r="H14" s="607"/>
      <c r="I14" s="607"/>
      <c r="J14" s="607"/>
      <c r="K14" s="607"/>
      <c r="L14" s="607"/>
      <c r="M14" s="607"/>
      <c r="N14" s="607"/>
      <c r="O14" s="607"/>
      <c r="P14" s="607"/>
      <c r="Q14" s="607"/>
      <c r="R14" s="607"/>
      <c r="S14" s="607"/>
      <c r="T14" s="607"/>
      <c r="U14" s="607"/>
      <c r="V14" s="607"/>
      <c r="W14" s="605">
        <f t="shared" si="0"/>
        <v>0</v>
      </c>
      <c r="X14" s="605">
        <f t="shared" si="1"/>
        <v>0</v>
      </c>
      <c r="Y14" s="605">
        <f t="shared" si="1"/>
        <v>0</v>
      </c>
      <c r="Z14" s="607"/>
      <c r="AA14" s="607"/>
      <c r="AB14" s="607"/>
      <c r="AC14" s="607"/>
      <c r="AJ14" s="482">
        <f t="shared" si="2"/>
        <v>0</v>
      </c>
      <c r="AK14" s="482">
        <f t="shared" si="3"/>
        <v>0</v>
      </c>
    </row>
    <row r="15" spans="1:37">
      <c r="A15" s="478">
        <v>41</v>
      </c>
      <c r="B15" s="478" t="str">
        <f t="shared" si="6"/>
        <v>4515000</v>
      </c>
      <c r="D15" s="478">
        <v>5</v>
      </c>
      <c r="E15" s="608" t="s">
        <v>449</v>
      </c>
      <c r="F15" s="605"/>
      <c r="G15" s="607"/>
      <c r="H15" s="607"/>
      <c r="I15" s="607"/>
      <c r="J15" s="607"/>
      <c r="K15" s="607"/>
      <c r="L15" s="607"/>
      <c r="M15" s="605">
        <v>196999.82</v>
      </c>
      <c r="N15" s="607"/>
      <c r="O15" s="607"/>
      <c r="P15" s="607"/>
      <c r="Q15" s="607"/>
      <c r="R15" s="607"/>
      <c r="S15" s="607"/>
      <c r="T15" s="607"/>
      <c r="U15" s="607"/>
      <c r="V15" s="607"/>
      <c r="W15" s="605">
        <f t="shared" si="0"/>
        <v>196999.82</v>
      </c>
      <c r="X15" s="605">
        <f t="shared" si="1"/>
        <v>196999.82</v>
      </c>
      <c r="Y15" s="605">
        <f t="shared" si="1"/>
        <v>196999.82</v>
      </c>
      <c r="Z15" s="607"/>
      <c r="AA15" s="607"/>
      <c r="AB15" s="607"/>
      <c r="AC15" s="607"/>
      <c r="AJ15" s="482">
        <f t="shared" si="2"/>
        <v>0</v>
      </c>
      <c r="AK15" s="482">
        <f t="shared" si="3"/>
        <v>196999.82</v>
      </c>
    </row>
    <row r="16" spans="1:37">
      <c r="A16" s="478">
        <v>43</v>
      </c>
      <c r="B16" s="478" t="str">
        <f t="shared" si="6"/>
        <v>4531000</v>
      </c>
      <c r="D16" s="478">
        <v>5</v>
      </c>
      <c r="E16" s="608" t="s">
        <v>268</v>
      </c>
      <c r="F16" s="607"/>
      <c r="G16" s="607"/>
      <c r="H16" s="607"/>
      <c r="I16" s="607"/>
      <c r="J16" s="607"/>
      <c r="K16" s="607"/>
      <c r="L16" s="607"/>
      <c r="M16" s="607"/>
      <c r="N16" s="605">
        <f>38397</f>
        <v>38397</v>
      </c>
      <c r="O16" s="607"/>
      <c r="P16" s="607"/>
      <c r="Q16" s="607"/>
      <c r="R16" s="607"/>
      <c r="S16" s="607"/>
      <c r="T16" s="607"/>
      <c r="U16" s="607"/>
      <c r="V16" s="607"/>
      <c r="W16" s="605">
        <f t="shared" si="0"/>
        <v>38397</v>
      </c>
      <c r="X16" s="605">
        <f t="shared" si="1"/>
        <v>38397</v>
      </c>
      <c r="Y16" s="605">
        <f t="shared" si="1"/>
        <v>38397</v>
      </c>
      <c r="Z16" s="607"/>
      <c r="AA16" s="607"/>
      <c r="AB16" s="607"/>
      <c r="AC16" s="607"/>
      <c r="AJ16" s="482">
        <f t="shared" si="2"/>
        <v>0</v>
      </c>
      <c r="AK16" s="482">
        <f t="shared" si="3"/>
        <v>38397</v>
      </c>
    </row>
    <row r="17" spans="1:39">
      <c r="A17" s="478">
        <v>44</v>
      </c>
      <c r="B17" s="478" t="str">
        <f t="shared" si="6"/>
        <v>4532000</v>
      </c>
      <c r="D17" s="478">
        <v>5</v>
      </c>
      <c r="E17" s="608" t="s">
        <v>269</v>
      </c>
      <c r="F17" s="607"/>
      <c r="G17" s="607"/>
      <c r="H17" s="607"/>
      <c r="I17" s="607"/>
      <c r="J17" s="607"/>
      <c r="K17" s="607"/>
      <c r="L17" s="607"/>
      <c r="M17" s="607"/>
      <c r="N17" s="607"/>
      <c r="O17" s="605">
        <f>1831</f>
        <v>1831</v>
      </c>
      <c r="P17" s="607"/>
      <c r="Q17" s="607"/>
      <c r="R17" s="607"/>
      <c r="S17" s="607"/>
      <c r="T17" s="607"/>
      <c r="U17" s="607"/>
      <c r="V17" s="607"/>
      <c r="W17" s="605">
        <f t="shared" si="0"/>
        <v>1831</v>
      </c>
      <c r="X17" s="605">
        <f t="shared" si="1"/>
        <v>1831</v>
      </c>
      <c r="Y17" s="605">
        <f t="shared" si="1"/>
        <v>1831</v>
      </c>
      <c r="Z17" s="607"/>
      <c r="AA17" s="607"/>
      <c r="AB17" s="607"/>
      <c r="AC17" s="607"/>
      <c r="AJ17" s="482">
        <f t="shared" si="2"/>
        <v>0</v>
      </c>
      <c r="AK17" s="482">
        <f t="shared" si="3"/>
        <v>1831</v>
      </c>
    </row>
    <row r="18" spans="1:39">
      <c r="A18" s="478">
        <v>48</v>
      </c>
      <c r="B18" s="478" t="str">
        <f t="shared" si="6"/>
        <v>4541000</v>
      </c>
      <c r="D18" s="478">
        <v>5</v>
      </c>
      <c r="E18" s="608" t="s">
        <v>450</v>
      </c>
      <c r="F18" s="607"/>
      <c r="G18" s="607"/>
      <c r="H18" s="607"/>
      <c r="I18" s="607"/>
      <c r="J18" s="607"/>
      <c r="K18" s="607"/>
      <c r="L18" s="607"/>
      <c r="M18" s="607"/>
      <c r="N18" s="607"/>
      <c r="O18" s="607"/>
      <c r="P18" s="607"/>
      <c r="Q18" s="607"/>
      <c r="R18" s="607"/>
      <c r="S18" s="607"/>
      <c r="T18" s="605">
        <f>169965</f>
        <v>169965</v>
      </c>
      <c r="U18" s="607"/>
      <c r="V18" s="607"/>
      <c r="W18" s="605">
        <f t="shared" si="0"/>
        <v>169965</v>
      </c>
      <c r="X18" s="605">
        <f t="shared" si="1"/>
        <v>169965</v>
      </c>
      <c r="Y18" s="605">
        <f t="shared" si="1"/>
        <v>169965</v>
      </c>
      <c r="Z18" s="607"/>
      <c r="AA18" s="607"/>
      <c r="AB18" s="607"/>
      <c r="AC18" s="607"/>
      <c r="AJ18" s="482">
        <f t="shared" si="2"/>
        <v>0</v>
      </c>
      <c r="AK18" s="482">
        <f t="shared" si="3"/>
        <v>169965</v>
      </c>
    </row>
    <row r="19" spans="1:39">
      <c r="A19" s="478">
        <v>51</v>
      </c>
      <c r="B19" s="478" t="str">
        <f t="shared" si="6"/>
        <v>4544000</v>
      </c>
      <c r="D19" s="478">
        <v>5</v>
      </c>
      <c r="E19" s="608" t="s">
        <v>451</v>
      </c>
      <c r="F19" s="607"/>
      <c r="G19" s="607"/>
      <c r="H19" s="607"/>
      <c r="I19" s="607"/>
      <c r="J19" s="607"/>
      <c r="K19" s="607"/>
      <c r="L19" s="607"/>
      <c r="M19" s="607"/>
      <c r="N19" s="607"/>
      <c r="O19" s="607"/>
      <c r="P19" s="607"/>
      <c r="Q19" s="607"/>
      <c r="R19" s="607"/>
      <c r="S19" s="607"/>
      <c r="T19" s="607"/>
      <c r="U19" s="607"/>
      <c r="V19" s="605">
        <f>27996</f>
        <v>27996</v>
      </c>
      <c r="W19" s="605">
        <f t="shared" si="0"/>
        <v>27996</v>
      </c>
      <c r="X19" s="605">
        <f t="shared" si="1"/>
        <v>27996</v>
      </c>
      <c r="Y19" s="605">
        <f t="shared" si="1"/>
        <v>27996</v>
      </c>
      <c r="Z19" s="607"/>
      <c r="AA19" s="607"/>
      <c r="AB19" s="607"/>
      <c r="AC19" s="607"/>
      <c r="AJ19" s="482">
        <f t="shared" si="2"/>
        <v>0</v>
      </c>
      <c r="AK19" s="482">
        <f t="shared" si="3"/>
        <v>27996</v>
      </c>
    </row>
    <row r="20" spans="1:39">
      <c r="A20" s="478">
        <v>52</v>
      </c>
      <c r="B20" s="478" t="str">
        <f t="shared" si="6"/>
        <v>4545000</v>
      </c>
      <c r="D20" s="478">
        <v>5</v>
      </c>
      <c r="E20" s="608" t="s">
        <v>278</v>
      </c>
      <c r="F20" s="607"/>
      <c r="G20" s="607"/>
      <c r="H20" s="607"/>
      <c r="I20" s="607"/>
      <c r="J20" s="607"/>
      <c r="K20" s="607"/>
      <c r="L20" s="607"/>
      <c r="M20" s="607"/>
      <c r="N20" s="607"/>
      <c r="O20" s="607"/>
      <c r="P20" s="607"/>
      <c r="Q20" s="607"/>
      <c r="R20" s="607"/>
      <c r="S20" s="607"/>
      <c r="T20" s="607"/>
      <c r="U20" s="605">
        <f>16396</f>
        <v>16396</v>
      </c>
      <c r="V20" s="607"/>
      <c r="W20" s="605">
        <f t="shared" si="0"/>
        <v>16396</v>
      </c>
      <c r="X20" s="605">
        <f t="shared" si="1"/>
        <v>16396</v>
      </c>
      <c r="Y20" s="605">
        <f t="shared" si="1"/>
        <v>16396</v>
      </c>
      <c r="Z20" s="607"/>
      <c r="AA20" s="607"/>
      <c r="AB20" s="607"/>
      <c r="AC20" s="607"/>
      <c r="AJ20" s="482">
        <f t="shared" si="2"/>
        <v>0</v>
      </c>
      <c r="AK20" s="482">
        <f t="shared" si="3"/>
        <v>16396</v>
      </c>
    </row>
    <row r="21" spans="1:39">
      <c r="A21" s="478">
        <v>55</v>
      </c>
      <c r="B21" s="478" t="str">
        <f t="shared" si="6"/>
        <v>4559000</v>
      </c>
      <c r="D21" s="478">
        <v>5</v>
      </c>
      <c r="E21" s="608" t="s">
        <v>730</v>
      </c>
      <c r="F21" s="607"/>
      <c r="G21" s="607"/>
      <c r="H21" s="607"/>
      <c r="I21" s="607"/>
      <c r="J21" s="607"/>
      <c r="K21" s="607"/>
      <c r="L21" s="607"/>
      <c r="M21" s="607"/>
      <c r="N21" s="607"/>
      <c r="O21" s="607"/>
      <c r="P21" s="607"/>
      <c r="Q21" s="607"/>
      <c r="R21" s="605">
        <f>9600</f>
        <v>9600</v>
      </c>
      <c r="S21" s="607"/>
      <c r="T21" s="607"/>
      <c r="U21" s="607"/>
      <c r="V21" s="607"/>
      <c r="W21" s="605">
        <f t="shared" si="0"/>
        <v>9600</v>
      </c>
      <c r="X21" s="605">
        <f t="shared" si="1"/>
        <v>9600</v>
      </c>
      <c r="Y21" s="605">
        <f t="shared" si="1"/>
        <v>9600</v>
      </c>
      <c r="Z21" s="607"/>
      <c r="AA21" s="607"/>
      <c r="AB21" s="607"/>
      <c r="AC21" s="607"/>
      <c r="AJ21" s="482">
        <f t="shared" si="2"/>
        <v>0</v>
      </c>
      <c r="AK21" s="482">
        <f t="shared" si="3"/>
        <v>9600</v>
      </c>
    </row>
    <row r="22" spans="1:39">
      <c r="A22" s="478">
        <v>60</v>
      </c>
      <c r="B22" s="478" t="str">
        <f t="shared" si="6"/>
        <v>4590000</v>
      </c>
      <c r="D22" s="478">
        <v>5</v>
      </c>
      <c r="E22" s="608" t="s">
        <v>452</v>
      </c>
      <c r="F22" s="607"/>
      <c r="G22" s="607"/>
      <c r="H22" s="605">
        <f>697</f>
        <v>697</v>
      </c>
      <c r="I22" s="605">
        <f>28800</f>
        <v>28800</v>
      </c>
      <c r="J22" s="605">
        <f>269379</f>
        <v>269379</v>
      </c>
      <c r="K22" s="605">
        <f>999862</f>
        <v>999862</v>
      </c>
      <c r="L22" s="605">
        <f>249643</f>
        <v>249643</v>
      </c>
      <c r="M22" s="607"/>
      <c r="N22" s="607"/>
      <c r="O22" s="607"/>
      <c r="P22" s="607"/>
      <c r="Q22" s="607"/>
      <c r="R22" s="607"/>
      <c r="S22" s="605">
        <f>14500</f>
        <v>14500</v>
      </c>
      <c r="T22" s="607"/>
      <c r="U22" s="607"/>
      <c r="V22" s="607"/>
      <c r="W22" s="605">
        <f t="shared" si="0"/>
        <v>1562881</v>
      </c>
      <c r="X22" s="605">
        <f t="shared" si="1"/>
        <v>1562881</v>
      </c>
      <c r="Y22" s="605">
        <f t="shared" si="1"/>
        <v>1562881</v>
      </c>
      <c r="Z22" s="607"/>
      <c r="AA22" s="607"/>
      <c r="AB22" s="607"/>
      <c r="AC22" s="607"/>
      <c r="AJ22" s="482">
        <f t="shared" si="2"/>
        <v>0</v>
      </c>
      <c r="AK22" s="482">
        <f t="shared" si="3"/>
        <v>1562881</v>
      </c>
    </row>
    <row r="23" spans="1:39">
      <c r="E23" s="608" t="s">
        <v>453</v>
      </c>
      <c r="F23" s="606">
        <f t="shared" ref="F23:V23" si="7">(((((((((F13)+(F14))+(F15))+(F16))+(F17))+(F18))+(F19))+(F20))+(F21))+(F22)</f>
        <v>0</v>
      </c>
      <c r="G23" s="606">
        <f t="shared" si="7"/>
        <v>0</v>
      </c>
      <c r="H23" s="606">
        <f t="shared" si="7"/>
        <v>697</v>
      </c>
      <c r="I23" s="606">
        <f t="shared" si="7"/>
        <v>28800</v>
      </c>
      <c r="J23" s="606">
        <f t="shared" si="7"/>
        <v>269379</v>
      </c>
      <c r="K23" s="606">
        <f t="shared" si="7"/>
        <v>999862</v>
      </c>
      <c r="L23" s="606">
        <f t="shared" si="7"/>
        <v>249643</v>
      </c>
      <c r="M23" s="606">
        <f t="shared" si="7"/>
        <v>196999.82</v>
      </c>
      <c r="N23" s="606">
        <f t="shared" si="7"/>
        <v>38397</v>
      </c>
      <c r="O23" s="606">
        <f t="shared" si="7"/>
        <v>1831</v>
      </c>
      <c r="P23" s="606">
        <f t="shared" si="7"/>
        <v>0</v>
      </c>
      <c r="Q23" s="606">
        <f t="shared" si="7"/>
        <v>0</v>
      </c>
      <c r="R23" s="606">
        <f t="shared" si="7"/>
        <v>9600</v>
      </c>
      <c r="S23" s="606">
        <f t="shared" si="7"/>
        <v>14500</v>
      </c>
      <c r="T23" s="606">
        <f t="shared" si="7"/>
        <v>169965</v>
      </c>
      <c r="U23" s="606">
        <f t="shared" si="7"/>
        <v>16396</v>
      </c>
      <c r="V23" s="606">
        <f t="shared" si="7"/>
        <v>27996</v>
      </c>
      <c r="W23" s="606">
        <f t="shared" si="0"/>
        <v>2024065.82</v>
      </c>
      <c r="X23" s="606">
        <f t="shared" si="1"/>
        <v>2024065.82</v>
      </c>
      <c r="Y23" s="605">
        <f t="shared" si="1"/>
        <v>2024065.82</v>
      </c>
      <c r="Z23" s="607"/>
      <c r="AA23" s="607"/>
      <c r="AB23" s="607"/>
      <c r="AC23" s="607"/>
      <c r="AJ23" s="482">
        <f t="shared" si="2"/>
        <v>0</v>
      </c>
      <c r="AK23" s="482">
        <f t="shared" si="3"/>
        <v>2024065.82</v>
      </c>
    </row>
    <row r="24" spans="1:39">
      <c r="E24" s="608" t="s">
        <v>454</v>
      </c>
      <c r="F24" s="606">
        <f t="shared" ref="F24:V24" si="8">((F7)+(F12))+(F23)</f>
        <v>2045570.33</v>
      </c>
      <c r="G24" s="606">
        <f t="shared" si="8"/>
        <v>11366</v>
      </c>
      <c r="H24" s="606">
        <f t="shared" si="8"/>
        <v>697</v>
      </c>
      <c r="I24" s="606">
        <f t="shared" si="8"/>
        <v>28800</v>
      </c>
      <c r="J24" s="606">
        <f t="shared" si="8"/>
        <v>269379</v>
      </c>
      <c r="K24" s="606">
        <f t="shared" si="8"/>
        <v>999862</v>
      </c>
      <c r="L24" s="606">
        <f t="shared" si="8"/>
        <v>249643</v>
      </c>
      <c r="M24" s="606">
        <f t="shared" si="8"/>
        <v>196999.82</v>
      </c>
      <c r="N24" s="606">
        <f t="shared" si="8"/>
        <v>38397</v>
      </c>
      <c r="O24" s="606">
        <f t="shared" si="8"/>
        <v>1831</v>
      </c>
      <c r="P24" s="606">
        <f t="shared" si="8"/>
        <v>66018</v>
      </c>
      <c r="Q24" s="606">
        <f t="shared" si="8"/>
        <v>7614</v>
      </c>
      <c r="R24" s="606">
        <f t="shared" si="8"/>
        <v>9600</v>
      </c>
      <c r="S24" s="606">
        <f t="shared" si="8"/>
        <v>14500</v>
      </c>
      <c r="T24" s="606">
        <f t="shared" si="8"/>
        <v>169965</v>
      </c>
      <c r="U24" s="606">
        <f t="shared" si="8"/>
        <v>16396</v>
      </c>
      <c r="V24" s="606">
        <f t="shared" si="8"/>
        <v>27996</v>
      </c>
      <c r="W24" s="606">
        <f t="shared" si="0"/>
        <v>4154634.15</v>
      </c>
      <c r="X24" s="606">
        <f t="shared" si="1"/>
        <v>4154634.15</v>
      </c>
      <c r="Y24" s="605">
        <f t="shared" si="1"/>
        <v>4154634.15</v>
      </c>
      <c r="Z24" s="607"/>
      <c r="AA24" s="607"/>
      <c r="AB24" s="607"/>
      <c r="AC24" s="607"/>
      <c r="AJ24" s="482">
        <f t="shared" si="2"/>
        <v>2130568.33</v>
      </c>
      <c r="AK24" s="482">
        <f t="shared" si="3"/>
        <v>2024065.82</v>
      </c>
      <c r="AM24" s="482">
        <f>AJ24+AK24</f>
        <v>4154634.1500000004</v>
      </c>
    </row>
    <row r="25" spans="1:39">
      <c r="E25" s="608" t="s">
        <v>270</v>
      </c>
      <c r="F25" s="606">
        <f t="shared" ref="F25:V25" si="9">(F24)-(0)</f>
        <v>2045570.33</v>
      </c>
      <c r="G25" s="606">
        <f t="shared" si="9"/>
        <v>11366</v>
      </c>
      <c r="H25" s="606">
        <f t="shared" si="9"/>
        <v>697</v>
      </c>
      <c r="I25" s="606">
        <f t="shared" si="9"/>
        <v>28800</v>
      </c>
      <c r="J25" s="606">
        <f t="shared" si="9"/>
        <v>269379</v>
      </c>
      <c r="K25" s="606">
        <f t="shared" si="9"/>
        <v>999862</v>
      </c>
      <c r="L25" s="606">
        <f t="shared" si="9"/>
        <v>249643</v>
      </c>
      <c r="M25" s="606">
        <f t="shared" si="9"/>
        <v>196999.82</v>
      </c>
      <c r="N25" s="606">
        <f t="shared" si="9"/>
        <v>38397</v>
      </c>
      <c r="O25" s="606">
        <f t="shared" si="9"/>
        <v>1831</v>
      </c>
      <c r="P25" s="606">
        <f t="shared" si="9"/>
        <v>66018</v>
      </c>
      <c r="Q25" s="606">
        <f t="shared" si="9"/>
        <v>7614</v>
      </c>
      <c r="R25" s="606">
        <f t="shared" si="9"/>
        <v>9600</v>
      </c>
      <c r="S25" s="606">
        <f t="shared" si="9"/>
        <v>14500</v>
      </c>
      <c r="T25" s="606">
        <f t="shared" si="9"/>
        <v>169965</v>
      </c>
      <c r="U25" s="606">
        <f t="shared" si="9"/>
        <v>16396</v>
      </c>
      <c r="V25" s="606">
        <f t="shared" si="9"/>
        <v>27996</v>
      </c>
      <c r="W25" s="606">
        <f t="shared" si="0"/>
        <v>4154634.15</v>
      </c>
      <c r="X25" s="606">
        <f t="shared" si="1"/>
        <v>4154634.15</v>
      </c>
      <c r="Y25" s="605">
        <f t="shared" si="1"/>
        <v>4154634.15</v>
      </c>
      <c r="Z25" s="607"/>
      <c r="AA25" s="607">
        <f>'Annual Budget '!J85</f>
        <v>4154634.1500000004</v>
      </c>
      <c r="AB25" s="607">
        <f>AA25-Y24</f>
        <v>0</v>
      </c>
      <c r="AC25" s="607"/>
      <c r="AJ25" s="482">
        <f t="shared" si="2"/>
        <v>2130568.33</v>
      </c>
      <c r="AK25" s="482">
        <f t="shared" si="3"/>
        <v>2024065.82</v>
      </c>
    </row>
    <row r="26" spans="1:39">
      <c r="D26" s="498" cm="1">
        <f t="array" ref="D26">INDEX('Form A Mapping'!C:C, MATCH(1, (C26 &gt;= 'Form A Mapping'!A:A) * (C26 &lt;= 'Form A Mapping'!B:B), 0))</f>
        <v>0</v>
      </c>
      <c r="E26" s="608" t="s">
        <v>243</v>
      </c>
      <c r="F26" s="607"/>
      <c r="G26" s="607"/>
      <c r="H26" s="607"/>
      <c r="I26" s="607"/>
      <c r="J26" s="607"/>
      <c r="K26" s="607"/>
      <c r="L26" s="607"/>
      <c r="M26" s="607"/>
      <c r="N26" s="607"/>
      <c r="O26" s="607"/>
      <c r="P26" s="607"/>
      <c r="Q26" s="607"/>
      <c r="R26" s="607"/>
      <c r="S26" s="607"/>
      <c r="T26" s="607"/>
      <c r="U26" s="607"/>
      <c r="V26" s="607"/>
      <c r="W26" s="607"/>
      <c r="X26" s="607"/>
      <c r="Y26" s="607"/>
      <c r="Z26" s="607"/>
      <c r="AA26" s="607"/>
      <c r="AB26" s="607"/>
      <c r="AC26" s="607"/>
      <c r="AJ26" s="482">
        <f t="shared" si="2"/>
        <v>0</v>
      </c>
      <c r="AK26" s="482">
        <f t="shared" si="3"/>
        <v>0</v>
      </c>
    </row>
    <row r="27" spans="1:39">
      <c r="B27" s="478" t="str">
        <f t="shared" ref="B27:B39" si="10">LEFT(TRIM(E27), 7)</f>
        <v>1000000</v>
      </c>
      <c r="C27" s="478">
        <v>0</v>
      </c>
      <c r="D27" s="498" cm="1">
        <f t="array" ref="D27">INDEX('Form A Mapping'!C:C, MATCH(1, (C27 &gt;= 'Form A Mapping'!A:A) * (C27 &lt;= 'Form A Mapping'!B:B), 0))</f>
        <v>0</v>
      </c>
      <c r="E27" s="608" t="s">
        <v>455</v>
      </c>
      <c r="F27" s="607"/>
      <c r="G27" s="607"/>
      <c r="H27" s="607"/>
      <c r="I27" s="607"/>
      <c r="J27" s="607"/>
      <c r="K27" s="607"/>
      <c r="L27" s="607"/>
      <c r="M27" s="607"/>
      <c r="N27" s="607"/>
      <c r="O27" s="607"/>
      <c r="P27" s="607"/>
      <c r="Q27" s="607"/>
      <c r="R27" s="607"/>
      <c r="S27" s="607"/>
      <c r="T27" s="607"/>
      <c r="U27" s="607"/>
      <c r="V27" s="607"/>
      <c r="W27" s="605">
        <f t="shared" ref="W27:W90" si="11">((((((((((((((((F27)+(G27))+(H27))+(I27))+(J27))+(K27))+(L27))+(M27))+(N27))+(O27))+(P27))+(Q27))+(R27))+(S27))+(T27))+(U27))+(V27)</f>
        <v>0</v>
      </c>
      <c r="X27" s="605">
        <f t="shared" ref="X27:Y90" si="12">W27</f>
        <v>0</v>
      </c>
      <c r="Y27" s="605">
        <f t="shared" si="12"/>
        <v>0</v>
      </c>
      <c r="Z27" s="607"/>
      <c r="AA27" s="607"/>
      <c r="AB27" s="607"/>
      <c r="AC27" s="607"/>
      <c r="AJ27" s="482">
        <f t="shared" si="2"/>
        <v>0</v>
      </c>
      <c r="AK27" s="482">
        <f t="shared" si="3"/>
        <v>0</v>
      </c>
    </row>
    <row r="28" spans="1:39">
      <c r="A28" s="478">
        <v>81</v>
      </c>
      <c r="B28" s="478" t="str">
        <f t="shared" si="10"/>
        <v>1112190</v>
      </c>
      <c r="C28" s="478">
        <v>2190</v>
      </c>
      <c r="D28" s="498" cm="1">
        <f t="array" ref="D28">INDEX('Form A Mapping'!C:C, MATCH(1, (C28 &gt;= 'Form A Mapping'!A:A) * (C28 &lt;= 'Form A Mapping'!B:B), 0))</f>
        <v>13</v>
      </c>
      <c r="E28" s="608" t="s">
        <v>456</v>
      </c>
      <c r="F28" s="605">
        <f>30133.22</f>
        <v>30133.22</v>
      </c>
      <c r="G28" s="607"/>
      <c r="H28" s="607"/>
      <c r="I28" s="607"/>
      <c r="J28" s="607"/>
      <c r="K28" s="607"/>
      <c r="L28" s="607"/>
      <c r="M28" s="607"/>
      <c r="N28" s="607"/>
      <c r="O28" s="607"/>
      <c r="P28" s="607"/>
      <c r="Q28" s="607"/>
      <c r="R28" s="607"/>
      <c r="S28" s="607"/>
      <c r="T28" s="607"/>
      <c r="U28" s="607"/>
      <c r="V28" s="607"/>
      <c r="W28" s="605">
        <f t="shared" si="11"/>
        <v>30133.22</v>
      </c>
      <c r="X28" s="605">
        <f t="shared" si="12"/>
        <v>30133.22</v>
      </c>
      <c r="Y28" s="605">
        <f t="shared" si="12"/>
        <v>30133.22</v>
      </c>
      <c r="Z28" s="607"/>
      <c r="AA28" s="607"/>
      <c r="AB28" s="607"/>
      <c r="AC28" s="607"/>
      <c r="AJ28" s="482">
        <f t="shared" si="2"/>
        <v>30133.22</v>
      </c>
      <c r="AK28" s="482">
        <f t="shared" si="3"/>
        <v>0</v>
      </c>
    </row>
    <row r="29" spans="1:39">
      <c r="A29" s="478">
        <v>81</v>
      </c>
      <c r="B29" s="478" t="str">
        <f t="shared" si="10"/>
        <v>1112400</v>
      </c>
      <c r="C29" s="478">
        <v>2400</v>
      </c>
      <c r="D29" s="498" cm="1">
        <f t="array" ref="D29">INDEX('Form A Mapping'!C:C, MATCH(1, (C29 &gt;= 'Form A Mapping'!A:A) * (C29 &lt;= 'Form A Mapping'!B:B), 0))</f>
        <v>16</v>
      </c>
      <c r="E29" s="608" t="s">
        <v>457</v>
      </c>
      <c r="F29" s="605">
        <f>163054.79</f>
        <v>163054.79</v>
      </c>
      <c r="G29" s="607"/>
      <c r="H29" s="607"/>
      <c r="I29" s="607"/>
      <c r="J29" s="607"/>
      <c r="K29" s="607"/>
      <c r="L29" s="607"/>
      <c r="M29" s="607"/>
      <c r="N29" s="607"/>
      <c r="O29" s="607"/>
      <c r="P29" s="607"/>
      <c r="Q29" s="607"/>
      <c r="R29" s="607"/>
      <c r="S29" s="607"/>
      <c r="T29" s="605">
        <f>28348</f>
        <v>28348</v>
      </c>
      <c r="U29" s="607"/>
      <c r="V29" s="607"/>
      <c r="W29" s="605">
        <f t="shared" si="11"/>
        <v>191402.79</v>
      </c>
      <c r="X29" s="605">
        <f t="shared" si="12"/>
        <v>191402.79</v>
      </c>
      <c r="Y29" s="605">
        <f t="shared" si="12"/>
        <v>191402.79</v>
      </c>
      <c r="Z29" s="607"/>
      <c r="AA29" s="607"/>
      <c r="AB29" s="607"/>
      <c r="AC29" s="607"/>
      <c r="AJ29" s="482">
        <f t="shared" si="2"/>
        <v>163054.79</v>
      </c>
      <c r="AK29" s="482">
        <f t="shared" si="3"/>
        <v>28348</v>
      </c>
    </row>
    <row r="30" spans="1:39">
      <c r="A30" s="478">
        <v>81</v>
      </c>
      <c r="B30" s="478" t="str">
        <f t="shared" si="10"/>
        <v>1112410</v>
      </c>
      <c r="C30" s="478">
        <v>2410</v>
      </c>
      <c r="D30" s="498" cm="1">
        <f t="array" ref="D30">INDEX('Form A Mapping'!C:C, MATCH(1, (C30 &gt;= 'Form A Mapping'!A:A) * (C30 &lt;= 'Form A Mapping'!B:B), 0))</f>
        <v>16</v>
      </c>
      <c r="E30" s="608" t="s">
        <v>458</v>
      </c>
      <c r="F30" s="605">
        <f>95208.32</f>
        <v>95208.320000000007</v>
      </c>
      <c r="G30" s="607"/>
      <c r="H30" s="607"/>
      <c r="I30" s="607"/>
      <c r="J30" s="607"/>
      <c r="K30" s="607"/>
      <c r="L30" s="607"/>
      <c r="M30" s="607"/>
      <c r="N30" s="607"/>
      <c r="O30" s="607"/>
      <c r="P30" s="607"/>
      <c r="Q30" s="607"/>
      <c r="R30" s="607"/>
      <c r="S30" s="607"/>
      <c r="T30" s="607"/>
      <c r="U30" s="607"/>
      <c r="V30" s="607"/>
      <c r="W30" s="605">
        <f t="shared" si="11"/>
        <v>95208.320000000007</v>
      </c>
      <c r="X30" s="605">
        <f t="shared" si="12"/>
        <v>95208.320000000007</v>
      </c>
      <c r="Y30" s="605">
        <f t="shared" si="12"/>
        <v>95208.320000000007</v>
      </c>
      <c r="Z30" s="607"/>
      <c r="AA30" s="607"/>
      <c r="AB30" s="607"/>
      <c r="AC30" s="607"/>
      <c r="AJ30" s="482">
        <f t="shared" si="2"/>
        <v>95208.320000000007</v>
      </c>
      <c r="AK30" s="482">
        <f t="shared" si="3"/>
        <v>0</v>
      </c>
    </row>
    <row r="31" spans="1:39">
      <c r="A31" s="478">
        <v>79</v>
      </c>
      <c r="B31" s="478" t="str">
        <f t="shared" si="10"/>
        <v>1112430</v>
      </c>
      <c r="C31" s="478">
        <v>2430</v>
      </c>
      <c r="D31" s="498" cm="1">
        <f t="array" ref="D31">INDEX('Form A Mapping'!C:C, MATCH(1, (C31 &gt;= 'Form A Mapping'!A:A) * (C31 &lt;= 'Form A Mapping'!B:B), 0))</f>
        <v>16</v>
      </c>
      <c r="E31" s="608" t="s">
        <v>459</v>
      </c>
      <c r="F31" s="605">
        <f>60333.36</f>
        <v>60333.36</v>
      </c>
      <c r="G31" s="607"/>
      <c r="H31" s="607"/>
      <c r="I31" s="607"/>
      <c r="J31" s="607"/>
      <c r="K31" s="607"/>
      <c r="L31" s="607"/>
      <c r="M31" s="607"/>
      <c r="N31" s="607"/>
      <c r="O31" s="607"/>
      <c r="P31" s="607"/>
      <c r="Q31" s="607"/>
      <c r="R31" s="607"/>
      <c r="S31" s="607"/>
      <c r="T31" s="607"/>
      <c r="U31" s="607"/>
      <c r="V31" s="607"/>
      <c r="W31" s="605">
        <f t="shared" si="11"/>
        <v>60333.36</v>
      </c>
      <c r="X31" s="605">
        <f t="shared" si="12"/>
        <v>60333.36</v>
      </c>
      <c r="Y31" s="605">
        <f t="shared" si="12"/>
        <v>60333.36</v>
      </c>
      <c r="Z31" s="607"/>
      <c r="AA31" s="607"/>
      <c r="AB31" s="607"/>
      <c r="AC31" s="607"/>
      <c r="AJ31" s="482">
        <f t="shared" si="2"/>
        <v>60333.36</v>
      </c>
      <c r="AK31" s="482">
        <f t="shared" si="3"/>
        <v>0</v>
      </c>
    </row>
    <row r="32" spans="1:39">
      <c r="A32" s="478">
        <v>82</v>
      </c>
      <c r="B32" s="478" t="str">
        <f t="shared" si="10"/>
        <v>1121110</v>
      </c>
      <c r="C32" s="478">
        <v>1110</v>
      </c>
      <c r="D32" s="498" cm="1">
        <f t="array" ref="D32">INDEX('Form A Mapping'!C:C, MATCH(1, (C32 &gt;= 'Form A Mapping'!A:A) * (C32 &lt;= 'Form A Mapping'!B:B), 0))</f>
        <v>7</v>
      </c>
      <c r="E32" s="608" t="s">
        <v>460</v>
      </c>
      <c r="F32" s="605">
        <f>307281.83</f>
        <v>307281.83</v>
      </c>
      <c r="G32" s="607"/>
      <c r="H32" s="607"/>
      <c r="I32" s="607"/>
      <c r="J32" s="605">
        <f>128962</f>
        <v>128962</v>
      </c>
      <c r="K32" s="605">
        <f>408678</f>
        <v>408678</v>
      </c>
      <c r="L32" s="607"/>
      <c r="M32" s="607"/>
      <c r="N32" s="607"/>
      <c r="O32" s="607"/>
      <c r="P32" s="605">
        <f>6800</f>
        <v>6800</v>
      </c>
      <c r="Q32" s="607"/>
      <c r="R32" s="607"/>
      <c r="S32" s="607"/>
      <c r="T32" s="607"/>
      <c r="U32" s="605">
        <f>13996</f>
        <v>13996</v>
      </c>
      <c r="V32" s="605">
        <f>27996</f>
        <v>27996</v>
      </c>
      <c r="W32" s="605">
        <f t="shared" si="11"/>
        <v>893713.83000000007</v>
      </c>
      <c r="X32" s="605">
        <f t="shared" si="12"/>
        <v>893713.83000000007</v>
      </c>
      <c r="Y32" s="605">
        <f t="shared" si="12"/>
        <v>893713.83000000007</v>
      </c>
      <c r="Z32" s="607"/>
      <c r="AA32" s="607"/>
      <c r="AB32" s="607"/>
      <c r="AC32" s="607"/>
      <c r="AJ32" s="482">
        <f t="shared" si="2"/>
        <v>314081.83000000007</v>
      </c>
      <c r="AK32" s="482">
        <f t="shared" si="3"/>
        <v>579632</v>
      </c>
    </row>
    <row r="33" spans="1:37">
      <c r="A33" s="478">
        <v>82</v>
      </c>
      <c r="B33" s="478" t="str">
        <f t="shared" si="10"/>
        <v>1121210</v>
      </c>
      <c r="C33" s="478">
        <v>1210</v>
      </c>
      <c r="D33" s="498" cm="1">
        <f t="array" ref="D33">INDEX('Form A Mapping'!C:C, MATCH(1, (C33 &gt;= 'Form A Mapping'!A:A) * (C33 &lt;= 'Form A Mapping'!B:B), 0))</f>
        <v>8</v>
      </c>
      <c r="E33" s="608" t="s">
        <v>461</v>
      </c>
      <c r="F33" s="605">
        <f>75498.17</f>
        <v>75498.17</v>
      </c>
      <c r="G33" s="607"/>
      <c r="H33" s="607"/>
      <c r="I33" s="607"/>
      <c r="J33" s="607"/>
      <c r="K33" s="607"/>
      <c r="L33" s="607"/>
      <c r="M33" s="607"/>
      <c r="N33" s="607"/>
      <c r="O33" s="605">
        <f>1831</f>
        <v>1831</v>
      </c>
      <c r="P33" s="607"/>
      <c r="Q33" s="607"/>
      <c r="R33" s="607"/>
      <c r="S33" s="607"/>
      <c r="T33" s="605">
        <f>33744</f>
        <v>33744</v>
      </c>
      <c r="U33" s="605">
        <f>960</f>
        <v>960</v>
      </c>
      <c r="V33" s="607"/>
      <c r="W33" s="605">
        <f t="shared" si="11"/>
        <v>112033.17</v>
      </c>
      <c r="X33" s="605">
        <f t="shared" si="12"/>
        <v>112033.17</v>
      </c>
      <c r="Y33" s="605">
        <f t="shared" si="12"/>
        <v>112033.17</v>
      </c>
      <c r="Z33" s="607"/>
      <c r="AA33" s="607"/>
      <c r="AB33" s="607"/>
      <c r="AC33" s="607"/>
      <c r="AJ33" s="482">
        <f t="shared" si="2"/>
        <v>75498.17</v>
      </c>
      <c r="AK33" s="482">
        <f t="shared" si="3"/>
        <v>36535</v>
      </c>
    </row>
    <row r="34" spans="1:37">
      <c r="A34" s="478">
        <v>83</v>
      </c>
      <c r="B34" s="478" t="str">
        <f t="shared" si="10"/>
        <v>1132122</v>
      </c>
      <c r="C34" s="478">
        <v>2122</v>
      </c>
      <c r="D34" s="498" cm="1">
        <f t="array" ref="D34">INDEX('Form A Mapping'!C:C, MATCH(1, (C34 &gt;= 'Form A Mapping'!A:A) * (C34 &lt;= 'Form A Mapping'!B:B), 0))</f>
        <v>13</v>
      </c>
      <c r="E34" s="608" t="s">
        <v>462</v>
      </c>
      <c r="F34" s="605">
        <f>10306.47</f>
        <v>10306.469999999999</v>
      </c>
      <c r="G34" s="607"/>
      <c r="H34" s="607"/>
      <c r="I34" s="607"/>
      <c r="J34" s="607"/>
      <c r="K34" s="607"/>
      <c r="L34" s="607"/>
      <c r="M34" s="607"/>
      <c r="N34" s="607"/>
      <c r="O34" s="607"/>
      <c r="P34" s="607"/>
      <c r="Q34" s="607"/>
      <c r="R34" s="607"/>
      <c r="S34" s="607"/>
      <c r="T34" s="605">
        <f>50525</f>
        <v>50525</v>
      </c>
      <c r="U34" s="607"/>
      <c r="V34" s="607"/>
      <c r="W34" s="605">
        <f t="shared" si="11"/>
        <v>60831.47</v>
      </c>
      <c r="X34" s="605">
        <f t="shared" si="12"/>
        <v>60831.47</v>
      </c>
      <c r="Y34" s="605">
        <f t="shared" si="12"/>
        <v>60831.47</v>
      </c>
      <c r="Z34" s="607"/>
      <c r="AA34" s="607"/>
      <c r="AB34" s="607"/>
      <c r="AC34" s="607"/>
      <c r="AJ34" s="482">
        <f t="shared" si="2"/>
        <v>10306.470000000001</v>
      </c>
      <c r="AK34" s="482">
        <f t="shared" si="3"/>
        <v>50525</v>
      </c>
    </row>
    <row r="35" spans="1:37">
      <c r="A35" s="478">
        <v>83</v>
      </c>
      <c r="B35" s="478" t="str">
        <f t="shared" si="10"/>
        <v>1132152</v>
      </c>
      <c r="C35" s="478">
        <v>2152</v>
      </c>
      <c r="D35" s="498" cm="1">
        <f t="array" ref="D35">INDEX('Form A Mapping'!C:C, MATCH(1, (C35 &gt;= 'Form A Mapping'!A:A) * (C35 &lt;= 'Form A Mapping'!B:B), 0))</f>
        <v>13</v>
      </c>
      <c r="E35" s="608" t="s">
        <v>731</v>
      </c>
      <c r="F35" s="605">
        <f>2658</f>
        <v>2658</v>
      </c>
      <c r="G35" s="607"/>
      <c r="H35" s="607"/>
      <c r="I35" s="607"/>
      <c r="J35" s="607"/>
      <c r="K35" s="607"/>
      <c r="L35" s="607"/>
      <c r="M35" s="607"/>
      <c r="N35" s="605">
        <f>37305</f>
        <v>37305</v>
      </c>
      <c r="O35" s="607"/>
      <c r="P35" s="607"/>
      <c r="Q35" s="607"/>
      <c r="R35" s="607"/>
      <c r="S35" s="607"/>
      <c r="T35" s="607"/>
      <c r="U35" s="607"/>
      <c r="V35" s="607"/>
      <c r="W35" s="605">
        <f t="shared" si="11"/>
        <v>39963</v>
      </c>
      <c r="X35" s="605">
        <f t="shared" si="12"/>
        <v>39963</v>
      </c>
      <c r="Y35" s="605">
        <f t="shared" si="12"/>
        <v>39963</v>
      </c>
      <c r="Z35" s="607"/>
      <c r="AA35" s="607"/>
      <c r="AB35" s="607"/>
      <c r="AC35" s="607"/>
      <c r="AJ35" s="482">
        <f t="shared" si="2"/>
        <v>2658</v>
      </c>
      <c r="AK35" s="482">
        <f t="shared" si="3"/>
        <v>37305</v>
      </c>
    </row>
    <row r="36" spans="1:37">
      <c r="A36" s="478">
        <v>83</v>
      </c>
      <c r="B36" s="478" t="str">
        <f t="shared" si="10"/>
        <v>1132220</v>
      </c>
      <c r="C36" s="478">
        <v>2220</v>
      </c>
      <c r="D36" s="498" cm="1">
        <f t="array" ref="D36">INDEX('Form A Mapping'!C:C, MATCH(1, (C36 &gt;= 'Form A Mapping'!A:A) * (C36 &lt;= 'Form A Mapping'!B:B), 0))</f>
        <v>14</v>
      </c>
      <c r="E36" s="608" t="s">
        <v>463</v>
      </c>
      <c r="F36" s="605">
        <f>74770.57</f>
        <v>74770.570000000007</v>
      </c>
      <c r="G36" s="607"/>
      <c r="H36" s="607"/>
      <c r="I36" s="607"/>
      <c r="J36" s="605">
        <f>64082</f>
        <v>64082</v>
      </c>
      <c r="K36" s="607"/>
      <c r="L36" s="607"/>
      <c r="M36" s="607"/>
      <c r="N36" s="607"/>
      <c r="O36" s="607"/>
      <c r="P36" s="607"/>
      <c r="Q36" s="607"/>
      <c r="R36" s="605">
        <f>9600</f>
        <v>9600</v>
      </c>
      <c r="S36" s="607"/>
      <c r="T36" s="607"/>
      <c r="U36" s="605">
        <f>1440</f>
        <v>1440</v>
      </c>
      <c r="V36" s="607"/>
      <c r="W36" s="605">
        <f t="shared" si="11"/>
        <v>149892.57</v>
      </c>
      <c r="X36" s="605">
        <f t="shared" si="12"/>
        <v>149892.57</v>
      </c>
      <c r="Y36" s="605">
        <f t="shared" si="12"/>
        <v>149892.57</v>
      </c>
      <c r="Z36" s="607"/>
      <c r="AA36" s="607"/>
      <c r="AB36" s="607"/>
      <c r="AC36" s="607"/>
      <c r="AJ36" s="482">
        <f t="shared" si="2"/>
        <v>74770.570000000007</v>
      </c>
      <c r="AK36" s="482">
        <f t="shared" si="3"/>
        <v>75122</v>
      </c>
    </row>
    <row r="37" spans="1:37">
      <c r="A37" s="478">
        <v>84</v>
      </c>
      <c r="B37" s="478" t="str">
        <f t="shared" si="10"/>
        <v>1142400</v>
      </c>
      <c r="C37" s="478">
        <v>2400</v>
      </c>
      <c r="D37" s="498" cm="1">
        <f t="array" ref="D37">INDEX('Form A Mapping'!C:C, MATCH(1, (C37 &gt;= 'Form A Mapping'!A:A) * (C37 &lt;= 'Form A Mapping'!B:B), 0))</f>
        <v>16</v>
      </c>
      <c r="E37" s="608" t="s">
        <v>464</v>
      </c>
      <c r="F37" s="605">
        <f>78607.14</f>
        <v>78607.14</v>
      </c>
      <c r="G37" s="607"/>
      <c r="H37" s="607"/>
      <c r="I37" s="607"/>
      <c r="J37" s="607"/>
      <c r="K37" s="607"/>
      <c r="L37" s="607"/>
      <c r="M37" s="607"/>
      <c r="N37" s="607"/>
      <c r="O37" s="607"/>
      <c r="P37" s="607"/>
      <c r="Q37" s="607"/>
      <c r="R37" s="607"/>
      <c r="S37" s="607"/>
      <c r="T37" s="607"/>
      <c r="U37" s="607"/>
      <c r="V37" s="607"/>
      <c r="W37" s="605">
        <f t="shared" si="11"/>
        <v>78607.14</v>
      </c>
      <c r="X37" s="605">
        <f t="shared" si="12"/>
        <v>78607.14</v>
      </c>
      <c r="Y37" s="605">
        <f t="shared" si="12"/>
        <v>78607.14</v>
      </c>
      <c r="Z37" s="607"/>
      <c r="AA37" s="607"/>
      <c r="AB37" s="607"/>
      <c r="AC37" s="607"/>
      <c r="AJ37" s="482">
        <f t="shared" si="2"/>
        <v>78607.14</v>
      </c>
      <c r="AK37" s="482">
        <f t="shared" si="3"/>
        <v>0</v>
      </c>
    </row>
    <row r="38" spans="1:37">
      <c r="A38" s="478">
        <v>86</v>
      </c>
      <c r="B38" s="478" t="str">
        <f t="shared" si="10"/>
        <v>1151210</v>
      </c>
      <c r="C38" s="478">
        <v>1210</v>
      </c>
      <c r="D38" s="498" cm="1">
        <f t="array" ref="D38">INDEX('Form A Mapping'!C:C, MATCH(1, (C38 &gt;= 'Form A Mapping'!A:A) * (C38 &lt;= 'Form A Mapping'!B:B), 0))</f>
        <v>8</v>
      </c>
      <c r="E38" s="608" t="s">
        <v>271</v>
      </c>
      <c r="F38" s="605">
        <f>-438.14</f>
        <v>-438.14</v>
      </c>
      <c r="G38" s="607"/>
      <c r="H38" s="607"/>
      <c r="I38" s="607"/>
      <c r="J38" s="607"/>
      <c r="K38" s="607"/>
      <c r="L38" s="607"/>
      <c r="M38" s="607"/>
      <c r="N38" s="607"/>
      <c r="O38" s="607"/>
      <c r="P38" s="607"/>
      <c r="Q38" s="607"/>
      <c r="R38" s="607"/>
      <c r="S38" s="607"/>
      <c r="T38" s="605">
        <f>31869</f>
        <v>31869</v>
      </c>
      <c r="U38" s="607"/>
      <c r="V38" s="607"/>
      <c r="W38" s="605">
        <f t="shared" si="11"/>
        <v>31430.86</v>
      </c>
      <c r="X38" s="605">
        <f t="shared" si="12"/>
        <v>31430.86</v>
      </c>
      <c r="Y38" s="605">
        <f t="shared" si="12"/>
        <v>31430.86</v>
      </c>
      <c r="Z38" s="607"/>
      <c r="AA38" s="607"/>
      <c r="AB38" s="607"/>
      <c r="AC38" s="607"/>
      <c r="AJ38" s="482">
        <f t="shared" si="2"/>
        <v>-438.13999999999942</v>
      </c>
      <c r="AK38" s="482">
        <f t="shared" si="3"/>
        <v>31869</v>
      </c>
    </row>
    <row r="39" spans="1:37">
      <c r="A39" s="478">
        <v>85</v>
      </c>
      <c r="B39" s="478" t="str">
        <f t="shared" si="10"/>
        <v>1162620</v>
      </c>
      <c r="C39" s="478">
        <v>2620</v>
      </c>
      <c r="D39" s="498" cm="1">
        <f t="array" ref="D39">INDEX('Form A Mapping'!C:C, MATCH(1, (C39 &gt;= 'Form A Mapping'!A:A) * (C39 &lt;= 'Form A Mapping'!B:B), 0))</f>
        <v>18</v>
      </c>
      <c r="E39" s="608" t="s">
        <v>465</v>
      </c>
      <c r="F39" s="605">
        <f>19076.7</f>
        <v>19076.7</v>
      </c>
      <c r="G39" s="607"/>
      <c r="H39" s="607"/>
      <c r="I39" s="607"/>
      <c r="J39" s="607"/>
      <c r="K39" s="605">
        <f>28738</f>
        <v>28738</v>
      </c>
      <c r="L39" s="607"/>
      <c r="M39" s="605">
        <f>16232.13</f>
        <v>16232.13</v>
      </c>
      <c r="N39" s="607"/>
      <c r="O39" s="607"/>
      <c r="P39" s="607"/>
      <c r="Q39" s="607"/>
      <c r="R39" s="607"/>
      <c r="S39" s="607"/>
      <c r="T39" s="607"/>
      <c r="U39" s="607"/>
      <c r="V39" s="607"/>
      <c r="W39" s="605">
        <f t="shared" si="11"/>
        <v>64046.829999999994</v>
      </c>
      <c r="X39" s="605">
        <f t="shared" si="12"/>
        <v>64046.829999999994</v>
      </c>
      <c r="Y39" s="605">
        <f t="shared" si="12"/>
        <v>64046.829999999994</v>
      </c>
      <c r="Z39" s="607"/>
      <c r="AA39" s="607"/>
      <c r="AB39" s="607"/>
      <c r="AC39" s="607"/>
      <c r="AJ39" s="482">
        <f t="shared" si="2"/>
        <v>19076.699999999997</v>
      </c>
      <c r="AK39" s="482">
        <f t="shared" si="3"/>
        <v>44970.13</v>
      </c>
    </row>
    <row r="40" spans="1:37">
      <c r="E40" s="608" t="s">
        <v>466</v>
      </c>
      <c r="F40" s="606">
        <f t="shared" ref="F40:V40" si="13">((((((((((((F27)+(F28))+(F29))+(F30))+(F31))+(F32))+(F33))+(F34))+(F35))+(F36))+(F37))+(F38))+(F39)</f>
        <v>916490.42999999993</v>
      </c>
      <c r="G40" s="606">
        <f t="shared" si="13"/>
        <v>0</v>
      </c>
      <c r="H40" s="606">
        <f t="shared" si="13"/>
        <v>0</v>
      </c>
      <c r="I40" s="606">
        <f t="shared" si="13"/>
        <v>0</v>
      </c>
      <c r="J40" s="606">
        <f t="shared" si="13"/>
        <v>193044</v>
      </c>
      <c r="K40" s="606">
        <f t="shared" si="13"/>
        <v>437416</v>
      </c>
      <c r="L40" s="606">
        <f t="shared" si="13"/>
        <v>0</v>
      </c>
      <c r="M40" s="606">
        <f t="shared" si="13"/>
        <v>16232.13</v>
      </c>
      <c r="N40" s="606">
        <f t="shared" si="13"/>
        <v>37305</v>
      </c>
      <c r="O40" s="606">
        <f t="shared" si="13"/>
        <v>1831</v>
      </c>
      <c r="P40" s="606">
        <f t="shared" si="13"/>
        <v>6800</v>
      </c>
      <c r="Q40" s="606">
        <f t="shared" si="13"/>
        <v>0</v>
      </c>
      <c r="R40" s="606">
        <f t="shared" si="13"/>
        <v>9600</v>
      </c>
      <c r="S40" s="606">
        <f t="shared" si="13"/>
        <v>0</v>
      </c>
      <c r="T40" s="606">
        <f t="shared" si="13"/>
        <v>144486</v>
      </c>
      <c r="U40" s="606">
        <f t="shared" si="13"/>
        <v>16396</v>
      </c>
      <c r="V40" s="606">
        <f t="shared" si="13"/>
        <v>27996</v>
      </c>
      <c r="W40" s="606">
        <f t="shared" si="11"/>
        <v>1807596.5599999998</v>
      </c>
      <c r="X40" s="606">
        <f t="shared" si="12"/>
        <v>1807596.5599999998</v>
      </c>
      <c r="Y40" s="606">
        <f t="shared" si="12"/>
        <v>1807596.5599999998</v>
      </c>
      <c r="Z40" s="607"/>
      <c r="AA40" s="607"/>
      <c r="AB40" s="607"/>
      <c r="AC40" s="607"/>
      <c r="AJ40" s="482">
        <f t="shared" si="2"/>
        <v>923290.42999999982</v>
      </c>
      <c r="AK40" s="482">
        <f t="shared" si="3"/>
        <v>884306.13</v>
      </c>
    </row>
    <row r="41" spans="1:37">
      <c r="E41" s="608" t="s">
        <v>467</v>
      </c>
      <c r="F41" s="607"/>
      <c r="G41" s="607"/>
      <c r="H41" s="607"/>
      <c r="I41" s="607"/>
      <c r="J41" s="607"/>
      <c r="K41" s="607"/>
      <c r="L41" s="607"/>
      <c r="M41" s="607"/>
      <c r="N41" s="607"/>
      <c r="O41" s="607"/>
      <c r="P41" s="607"/>
      <c r="Q41" s="607"/>
      <c r="R41" s="607"/>
      <c r="S41" s="607"/>
      <c r="T41" s="607"/>
      <c r="U41" s="607"/>
      <c r="V41" s="607"/>
      <c r="W41" s="605">
        <f t="shared" si="11"/>
        <v>0</v>
      </c>
      <c r="X41" s="605">
        <f t="shared" si="12"/>
        <v>0</v>
      </c>
      <c r="Y41" s="605">
        <f t="shared" si="12"/>
        <v>0</v>
      </c>
      <c r="Z41" s="607"/>
      <c r="AA41" s="607"/>
      <c r="AB41" s="607"/>
      <c r="AC41" s="607"/>
      <c r="AJ41" s="482">
        <f t="shared" si="2"/>
        <v>0</v>
      </c>
      <c r="AK41" s="482">
        <f t="shared" si="3"/>
        <v>0</v>
      </c>
    </row>
    <row r="42" spans="1:37">
      <c r="A42" s="478">
        <v>89</v>
      </c>
      <c r="B42" s="478" t="str">
        <f t="shared" ref="B42:B49" si="14">LEFT(TRIM(E42), 7)</f>
        <v>2100000</v>
      </c>
      <c r="C42" s="478">
        <v>0</v>
      </c>
      <c r="D42" s="498" cm="1">
        <f t="array" ref="D42">INDEX('Form A Mapping'!C:C, MATCH(1, (C42 &gt;= 'Form A Mapping'!A:A) * (C42 &lt;= 'Form A Mapping'!B:B), 0))</f>
        <v>0</v>
      </c>
      <c r="E42" s="608" t="s">
        <v>468</v>
      </c>
      <c r="F42" s="607"/>
      <c r="G42" s="607"/>
      <c r="H42" s="607"/>
      <c r="I42" s="607"/>
      <c r="J42" s="607"/>
      <c r="K42" s="607"/>
      <c r="L42" s="607"/>
      <c r="M42" s="607"/>
      <c r="N42" s="607"/>
      <c r="O42" s="607"/>
      <c r="P42" s="607"/>
      <c r="Q42" s="607"/>
      <c r="R42" s="607"/>
      <c r="S42" s="607"/>
      <c r="T42" s="607"/>
      <c r="U42" s="607"/>
      <c r="V42" s="607"/>
      <c r="W42" s="605">
        <f t="shared" si="11"/>
        <v>0</v>
      </c>
      <c r="X42" s="605">
        <f t="shared" si="12"/>
        <v>0</v>
      </c>
      <c r="Y42" s="605">
        <f t="shared" si="12"/>
        <v>0</v>
      </c>
      <c r="Z42" s="607"/>
      <c r="AA42" s="607"/>
      <c r="AB42" s="607"/>
      <c r="AC42" s="607"/>
      <c r="AJ42" s="482">
        <f t="shared" si="2"/>
        <v>0</v>
      </c>
      <c r="AK42" s="482">
        <f t="shared" si="3"/>
        <v>0</v>
      </c>
    </row>
    <row r="43" spans="1:37">
      <c r="A43" s="478">
        <v>89</v>
      </c>
      <c r="B43" s="478" t="str">
        <f t="shared" si="14"/>
        <v>2101100</v>
      </c>
      <c r="C43" s="478">
        <v>1100</v>
      </c>
      <c r="D43" s="498" cm="1">
        <f t="array" ref="D43">INDEX('Form A Mapping'!C:C, MATCH(1, (C43 &gt;= 'Form A Mapping'!A:A) * (C43 &lt;= 'Form A Mapping'!B:B), 0))</f>
        <v>7</v>
      </c>
      <c r="E43" s="608" t="s">
        <v>469</v>
      </c>
      <c r="F43" s="605">
        <f>63774.28</f>
        <v>63774.28</v>
      </c>
      <c r="G43" s="607"/>
      <c r="H43" s="607"/>
      <c r="I43" s="607"/>
      <c r="J43" s="605">
        <f>5320</f>
        <v>5320</v>
      </c>
      <c r="K43" s="605">
        <f>49448</f>
        <v>49448</v>
      </c>
      <c r="L43" s="607"/>
      <c r="M43" s="607"/>
      <c r="N43" s="607"/>
      <c r="O43" s="607"/>
      <c r="P43" s="607"/>
      <c r="Q43" s="607"/>
      <c r="R43" s="607"/>
      <c r="S43" s="607"/>
      <c r="T43" s="607"/>
      <c r="U43" s="607"/>
      <c r="V43" s="607"/>
      <c r="W43" s="605">
        <f t="shared" si="11"/>
        <v>118542.28</v>
      </c>
      <c r="X43" s="605">
        <f t="shared" si="12"/>
        <v>118542.28</v>
      </c>
      <c r="Y43" s="605">
        <f t="shared" si="12"/>
        <v>118542.28</v>
      </c>
      <c r="Z43" s="607"/>
      <c r="AA43" s="607"/>
      <c r="AB43" s="607"/>
      <c r="AC43" s="607"/>
      <c r="AJ43" s="482">
        <f t="shared" si="2"/>
        <v>63774.28</v>
      </c>
      <c r="AK43" s="482">
        <f t="shared" si="3"/>
        <v>54768</v>
      </c>
    </row>
    <row r="44" spans="1:37">
      <c r="A44" s="478">
        <v>89</v>
      </c>
      <c r="B44" s="478" t="str">
        <f t="shared" si="14"/>
        <v>2101210</v>
      </c>
      <c r="C44" s="478">
        <v>1210</v>
      </c>
      <c r="D44" s="498" cm="1">
        <f t="array" ref="D44">INDEX('Form A Mapping'!C:C, MATCH(1, (C44 &gt;= 'Form A Mapping'!A:A) * (C44 &lt;= 'Form A Mapping'!B:B), 0))</f>
        <v>8</v>
      </c>
      <c r="E44" s="608" t="s">
        <v>470</v>
      </c>
      <c r="F44" s="605">
        <f>12978.03</f>
        <v>12978.03</v>
      </c>
      <c r="G44" s="607"/>
      <c r="H44" s="607"/>
      <c r="I44" s="607"/>
      <c r="J44" s="607"/>
      <c r="K44" s="607"/>
      <c r="L44" s="607"/>
      <c r="M44" s="607"/>
      <c r="N44" s="607"/>
      <c r="O44" s="607"/>
      <c r="P44" s="607"/>
      <c r="Q44" s="607"/>
      <c r="R44" s="607"/>
      <c r="S44" s="607"/>
      <c r="T44" s="605">
        <f>82</f>
        <v>82</v>
      </c>
      <c r="U44" s="607"/>
      <c r="V44" s="607"/>
      <c r="W44" s="605">
        <f t="shared" si="11"/>
        <v>13060.03</v>
      </c>
      <c r="X44" s="605">
        <f t="shared" si="12"/>
        <v>13060.03</v>
      </c>
      <c r="Y44" s="605">
        <f t="shared" si="12"/>
        <v>13060.03</v>
      </c>
      <c r="Z44" s="607"/>
      <c r="AA44" s="607"/>
      <c r="AB44" s="607"/>
      <c r="AC44" s="607"/>
      <c r="AJ44" s="482">
        <f t="shared" si="2"/>
        <v>12978.03</v>
      </c>
      <c r="AK44" s="482">
        <f t="shared" si="3"/>
        <v>82</v>
      </c>
    </row>
    <row r="45" spans="1:37">
      <c r="A45" s="478">
        <v>89</v>
      </c>
      <c r="B45" s="478" t="str">
        <f t="shared" si="14"/>
        <v>2102120</v>
      </c>
      <c r="C45" s="478">
        <v>2120</v>
      </c>
      <c r="D45" s="498" cm="1">
        <f t="array" ref="D45">INDEX('Form A Mapping'!C:C, MATCH(1, (C45 &gt;= 'Form A Mapping'!A:A) * (C45 &lt;= 'Form A Mapping'!B:B), 0))</f>
        <v>13</v>
      </c>
      <c r="E45" s="608" t="s">
        <v>471</v>
      </c>
      <c r="F45" s="605">
        <f>853.84</f>
        <v>853.84</v>
      </c>
      <c r="G45" s="607"/>
      <c r="H45" s="607"/>
      <c r="I45" s="607"/>
      <c r="J45" s="607"/>
      <c r="K45" s="607"/>
      <c r="L45" s="607"/>
      <c r="M45" s="607"/>
      <c r="N45" s="607"/>
      <c r="O45" s="607"/>
      <c r="P45" s="607"/>
      <c r="Q45" s="607"/>
      <c r="R45" s="607"/>
      <c r="S45" s="607"/>
      <c r="T45" s="605">
        <f>5591</f>
        <v>5591</v>
      </c>
      <c r="U45" s="607"/>
      <c r="V45" s="607"/>
      <c r="W45" s="605">
        <f t="shared" si="11"/>
        <v>6444.84</v>
      </c>
      <c r="X45" s="605">
        <f t="shared" si="12"/>
        <v>6444.84</v>
      </c>
      <c r="Y45" s="605">
        <f t="shared" si="12"/>
        <v>6444.84</v>
      </c>
      <c r="Z45" s="607"/>
      <c r="AA45" s="607"/>
      <c r="AB45" s="607"/>
      <c r="AC45" s="607"/>
      <c r="AJ45" s="482">
        <f t="shared" si="2"/>
        <v>853.84000000000015</v>
      </c>
      <c r="AK45" s="482">
        <f t="shared" si="3"/>
        <v>5591</v>
      </c>
    </row>
    <row r="46" spans="1:37">
      <c r="A46" s="478">
        <v>89</v>
      </c>
      <c r="B46" s="478" t="str">
        <f t="shared" si="14"/>
        <v>2102190</v>
      </c>
      <c r="C46" s="478">
        <v>2190</v>
      </c>
      <c r="D46" s="498" cm="1">
        <f t="array" ref="D46">INDEX('Form A Mapping'!C:C, MATCH(1, (C46 &gt;= 'Form A Mapping'!A:A) * (C46 &lt;= 'Form A Mapping'!B:B), 0))</f>
        <v>13</v>
      </c>
      <c r="E46" s="608" t="s">
        <v>472</v>
      </c>
      <c r="F46" s="605">
        <f>2148.28</f>
        <v>2148.2800000000002</v>
      </c>
      <c r="G46" s="607"/>
      <c r="H46" s="607"/>
      <c r="I46" s="607"/>
      <c r="J46" s="607"/>
      <c r="K46" s="607"/>
      <c r="L46" s="607"/>
      <c r="M46" s="607"/>
      <c r="N46" s="607"/>
      <c r="O46" s="607"/>
      <c r="P46" s="607"/>
      <c r="Q46" s="607"/>
      <c r="R46" s="607"/>
      <c r="S46" s="607"/>
      <c r="T46" s="607"/>
      <c r="U46" s="607"/>
      <c r="V46" s="607"/>
      <c r="W46" s="605">
        <f t="shared" si="11"/>
        <v>2148.2800000000002</v>
      </c>
      <c r="X46" s="605">
        <f t="shared" si="12"/>
        <v>2148.2800000000002</v>
      </c>
      <c r="Y46" s="605">
        <f t="shared" si="12"/>
        <v>2148.2800000000002</v>
      </c>
      <c r="Z46" s="607"/>
      <c r="AA46" s="607"/>
      <c r="AB46" s="607"/>
      <c r="AC46" s="607"/>
      <c r="AJ46" s="482">
        <f t="shared" si="2"/>
        <v>2148.2800000000002</v>
      </c>
      <c r="AK46" s="482">
        <f t="shared" si="3"/>
        <v>0</v>
      </c>
    </row>
    <row r="47" spans="1:37">
      <c r="A47" s="478">
        <v>89</v>
      </c>
      <c r="B47" s="478" t="str">
        <f t="shared" si="14"/>
        <v>2102220</v>
      </c>
      <c r="C47" s="478">
        <v>2220</v>
      </c>
      <c r="D47" s="498" cm="1">
        <f t="array" ref="D47">INDEX('Form A Mapping'!C:C, MATCH(1, (C47 &gt;= 'Form A Mapping'!A:A) * (C47 &lt;= 'Form A Mapping'!B:B), 0))</f>
        <v>14</v>
      </c>
      <c r="E47" s="608" t="s">
        <v>473</v>
      </c>
      <c r="F47" s="605">
        <f>2772.9</f>
        <v>2772.9</v>
      </c>
      <c r="G47" s="607"/>
      <c r="H47" s="607"/>
      <c r="I47" s="607"/>
      <c r="J47" s="605">
        <f>16854</f>
        <v>16854</v>
      </c>
      <c r="K47" s="607"/>
      <c r="L47" s="607"/>
      <c r="M47" s="607"/>
      <c r="N47" s="607"/>
      <c r="O47" s="607"/>
      <c r="P47" s="607"/>
      <c r="Q47" s="607"/>
      <c r="R47" s="607"/>
      <c r="S47" s="607"/>
      <c r="T47" s="607"/>
      <c r="U47" s="607"/>
      <c r="V47" s="607"/>
      <c r="W47" s="605">
        <f t="shared" si="11"/>
        <v>19626.900000000001</v>
      </c>
      <c r="X47" s="605">
        <f t="shared" si="12"/>
        <v>19626.900000000001</v>
      </c>
      <c r="Y47" s="605">
        <f t="shared" si="12"/>
        <v>19626.900000000001</v>
      </c>
      <c r="Z47" s="607"/>
      <c r="AA47" s="607"/>
      <c r="AB47" s="607"/>
      <c r="AC47" s="607"/>
      <c r="AJ47" s="482">
        <f t="shared" si="2"/>
        <v>2772.9000000000015</v>
      </c>
      <c r="AK47" s="482">
        <f t="shared" si="3"/>
        <v>16854</v>
      </c>
    </row>
    <row r="48" spans="1:37">
      <c r="A48" s="478">
        <v>89</v>
      </c>
      <c r="B48" s="478" t="str">
        <f t="shared" si="14"/>
        <v>2102400</v>
      </c>
      <c r="C48" s="478">
        <v>2400</v>
      </c>
      <c r="D48" s="498" cm="1">
        <f t="array" ref="D48">INDEX('Form A Mapping'!C:C, MATCH(1, (C48 &gt;= 'Form A Mapping'!A:A) * (C48 &lt;= 'Form A Mapping'!B:B), 0))</f>
        <v>16</v>
      </c>
      <c r="E48" s="608" t="s">
        <v>474</v>
      </c>
      <c r="F48" s="605">
        <f>31834.15</f>
        <v>31834.15</v>
      </c>
      <c r="G48" s="607"/>
      <c r="H48" s="607"/>
      <c r="I48" s="607"/>
      <c r="J48" s="607"/>
      <c r="K48" s="607"/>
      <c r="L48" s="607"/>
      <c r="M48" s="607"/>
      <c r="N48" s="607"/>
      <c r="O48" s="607"/>
      <c r="P48" s="607"/>
      <c r="Q48" s="607"/>
      <c r="R48" s="607"/>
      <c r="S48" s="607"/>
      <c r="T48" s="605">
        <f>1845</f>
        <v>1845</v>
      </c>
      <c r="U48" s="607"/>
      <c r="V48" s="607"/>
      <c r="W48" s="605">
        <f t="shared" si="11"/>
        <v>33679.15</v>
      </c>
      <c r="X48" s="605">
        <f t="shared" si="12"/>
        <v>33679.15</v>
      </c>
      <c r="Y48" s="605">
        <f t="shared" si="12"/>
        <v>33679.15</v>
      </c>
      <c r="Z48" s="607"/>
      <c r="AA48" s="607"/>
      <c r="AB48" s="607"/>
      <c r="AC48" s="607"/>
      <c r="AJ48" s="482">
        <f t="shared" si="2"/>
        <v>31834.15</v>
      </c>
      <c r="AK48" s="482">
        <f t="shared" si="3"/>
        <v>1845</v>
      </c>
    </row>
    <row r="49" spans="1:37">
      <c r="A49" s="478">
        <v>89</v>
      </c>
      <c r="B49" s="478" t="str">
        <f t="shared" si="14"/>
        <v>2102690</v>
      </c>
      <c r="C49" s="478">
        <v>2690</v>
      </c>
      <c r="D49" s="498" cm="1">
        <f t="array" ref="D49">INDEX('Form A Mapping'!C:C, MATCH(1, (C49 &gt;= 'Form A Mapping'!A:A) * (C49 &lt;= 'Form A Mapping'!B:B), 0))</f>
        <v>18</v>
      </c>
      <c r="E49" s="608" t="s">
        <v>475</v>
      </c>
      <c r="F49" s="605">
        <f>223.05</f>
        <v>223.05</v>
      </c>
      <c r="G49" s="607"/>
      <c r="H49" s="607"/>
      <c r="I49" s="607"/>
      <c r="J49" s="607"/>
      <c r="K49" s="607"/>
      <c r="L49" s="607"/>
      <c r="M49" s="607"/>
      <c r="N49" s="607"/>
      <c r="O49" s="607"/>
      <c r="P49" s="607"/>
      <c r="Q49" s="607"/>
      <c r="R49" s="607"/>
      <c r="S49" s="607"/>
      <c r="T49" s="607"/>
      <c r="U49" s="607"/>
      <c r="V49" s="607"/>
      <c r="W49" s="605">
        <f t="shared" si="11"/>
        <v>223.05</v>
      </c>
      <c r="X49" s="605">
        <f t="shared" si="12"/>
        <v>223.05</v>
      </c>
      <c r="Y49" s="605">
        <f t="shared" si="12"/>
        <v>223.05</v>
      </c>
      <c r="Z49" s="607"/>
      <c r="AA49" s="607"/>
      <c r="AB49" s="607"/>
      <c r="AC49" s="607"/>
      <c r="AJ49" s="482">
        <f t="shared" si="2"/>
        <v>223.05</v>
      </c>
      <c r="AK49" s="482">
        <f t="shared" si="3"/>
        <v>0</v>
      </c>
    </row>
    <row r="50" spans="1:37">
      <c r="E50" s="608" t="s">
        <v>476</v>
      </c>
      <c r="F50" s="606">
        <f t="shared" ref="F50:V50" si="15">(((((((F42)+(F43))+(F44))+(F45))+(F46))+(F47))+(F48))+(F49)</f>
        <v>114584.52999999998</v>
      </c>
      <c r="G50" s="606">
        <f t="shared" si="15"/>
        <v>0</v>
      </c>
      <c r="H50" s="606">
        <f t="shared" si="15"/>
        <v>0</v>
      </c>
      <c r="I50" s="606">
        <f t="shared" si="15"/>
        <v>0</v>
      </c>
      <c r="J50" s="606">
        <f t="shared" si="15"/>
        <v>22174</v>
      </c>
      <c r="K50" s="606">
        <f t="shared" si="15"/>
        <v>49448</v>
      </c>
      <c r="L50" s="606">
        <f t="shared" si="15"/>
        <v>0</v>
      </c>
      <c r="M50" s="606">
        <f t="shared" si="15"/>
        <v>0</v>
      </c>
      <c r="N50" s="606">
        <f t="shared" si="15"/>
        <v>0</v>
      </c>
      <c r="O50" s="606">
        <f t="shared" si="15"/>
        <v>0</v>
      </c>
      <c r="P50" s="606">
        <f t="shared" si="15"/>
        <v>0</v>
      </c>
      <c r="Q50" s="606">
        <f t="shared" si="15"/>
        <v>0</v>
      </c>
      <c r="R50" s="606">
        <f t="shared" si="15"/>
        <v>0</v>
      </c>
      <c r="S50" s="606">
        <f t="shared" si="15"/>
        <v>0</v>
      </c>
      <c r="T50" s="606">
        <f t="shared" si="15"/>
        <v>7518</v>
      </c>
      <c r="U50" s="606">
        <f t="shared" si="15"/>
        <v>0</v>
      </c>
      <c r="V50" s="606">
        <f t="shared" si="15"/>
        <v>0</v>
      </c>
      <c r="W50" s="606">
        <f t="shared" si="11"/>
        <v>193724.52999999997</v>
      </c>
      <c r="X50" s="606">
        <f t="shared" si="12"/>
        <v>193724.52999999997</v>
      </c>
      <c r="Y50" s="606">
        <f t="shared" si="12"/>
        <v>193724.52999999997</v>
      </c>
      <c r="Z50" s="607"/>
      <c r="AA50" s="607"/>
      <c r="AB50" s="607"/>
      <c r="AC50" s="607"/>
      <c r="AJ50" s="482">
        <f t="shared" si="2"/>
        <v>114584.52999999997</v>
      </c>
      <c r="AK50" s="482">
        <f t="shared" si="3"/>
        <v>79140</v>
      </c>
    </row>
    <row r="51" spans="1:37">
      <c r="A51" s="478">
        <v>90</v>
      </c>
      <c r="B51" s="478" t="str">
        <f t="shared" ref="B51:B59" si="16">LEFT(TRIM(E51), 7)</f>
        <v xml:space="preserve">220000 </v>
      </c>
      <c r="C51" s="478">
        <v>0</v>
      </c>
      <c r="D51" s="498" cm="1">
        <f t="array" ref="D51">INDEX('Form A Mapping'!C:C, MATCH(1, (C51 &gt;= 'Form A Mapping'!A:A) * (C51 &lt;= 'Form A Mapping'!B:B), 0))</f>
        <v>0</v>
      </c>
      <c r="E51" s="608" t="s">
        <v>477</v>
      </c>
      <c r="F51" s="607"/>
      <c r="G51" s="607"/>
      <c r="H51" s="607"/>
      <c r="I51" s="607"/>
      <c r="J51" s="607"/>
      <c r="K51" s="607"/>
      <c r="L51" s="607"/>
      <c r="M51" s="607"/>
      <c r="N51" s="607"/>
      <c r="O51" s="607"/>
      <c r="P51" s="607"/>
      <c r="Q51" s="607"/>
      <c r="R51" s="607"/>
      <c r="S51" s="607"/>
      <c r="T51" s="607"/>
      <c r="U51" s="607"/>
      <c r="V51" s="607"/>
      <c r="W51" s="605">
        <f t="shared" si="11"/>
        <v>0</v>
      </c>
      <c r="X51" s="605">
        <f t="shared" si="12"/>
        <v>0</v>
      </c>
      <c r="Y51" s="605">
        <f t="shared" si="12"/>
        <v>0</v>
      </c>
      <c r="Z51" s="607"/>
      <c r="AA51" s="607"/>
      <c r="AB51" s="607"/>
      <c r="AC51" s="607"/>
      <c r="AJ51" s="482">
        <f t="shared" si="2"/>
        <v>0</v>
      </c>
      <c r="AK51" s="482">
        <f t="shared" si="3"/>
        <v>0</v>
      </c>
    </row>
    <row r="52" spans="1:37">
      <c r="A52" s="478">
        <v>90</v>
      </c>
      <c r="B52" s="478" t="str">
        <f t="shared" si="16"/>
        <v>2201100</v>
      </c>
      <c r="C52" s="478">
        <v>1100</v>
      </c>
      <c r="D52" s="498" cm="1">
        <f t="array" ref="D52">INDEX('Form A Mapping'!C:C, MATCH(1, (C52 &gt;= 'Form A Mapping'!A:A) * (C52 &lt;= 'Form A Mapping'!B:B), 0))</f>
        <v>7</v>
      </c>
      <c r="E52" s="608" t="s">
        <v>478</v>
      </c>
      <c r="F52" s="605">
        <f>17905.16</f>
        <v>17905.16</v>
      </c>
      <c r="G52" s="607"/>
      <c r="H52" s="607"/>
      <c r="I52" s="607"/>
      <c r="J52" s="605">
        <f>3240</f>
        <v>3240</v>
      </c>
      <c r="K52" s="605">
        <f>32118</f>
        <v>32118</v>
      </c>
      <c r="L52" s="607"/>
      <c r="M52" s="607"/>
      <c r="N52" s="607"/>
      <c r="O52" s="607"/>
      <c r="P52" s="607"/>
      <c r="Q52" s="607"/>
      <c r="R52" s="607"/>
      <c r="S52" s="607"/>
      <c r="T52" s="607"/>
      <c r="U52" s="607"/>
      <c r="V52" s="607"/>
      <c r="W52" s="605">
        <f t="shared" si="11"/>
        <v>53263.16</v>
      </c>
      <c r="X52" s="605">
        <f t="shared" si="12"/>
        <v>53263.16</v>
      </c>
      <c r="Y52" s="605">
        <f t="shared" si="12"/>
        <v>53263.16</v>
      </c>
      <c r="Z52" s="607"/>
      <c r="AA52" s="607"/>
      <c r="AB52" s="607"/>
      <c r="AC52" s="607"/>
      <c r="AJ52" s="482">
        <f t="shared" si="2"/>
        <v>17905.160000000003</v>
      </c>
      <c r="AK52" s="482">
        <f t="shared" si="3"/>
        <v>35358</v>
      </c>
    </row>
    <row r="53" spans="1:37">
      <c r="A53" s="478">
        <v>90</v>
      </c>
      <c r="B53" s="478" t="str">
        <f t="shared" si="16"/>
        <v>2201210</v>
      </c>
      <c r="C53" s="478">
        <v>1210</v>
      </c>
      <c r="D53" s="498" cm="1">
        <f t="array" ref="D53">INDEX('Form A Mapping'!C:C, MATCH(1, (C53 &gt;= 'Form A Mapping'!A:A) * (C53 &lt;= 'Form A Mapping'!B:B), 0))</f>
        <v>8</v>
      </c>
      <c r="E53" s="608" t="s">
        <v>479</v>
      </c>
      <c r="F53" s="605">
        <f>6279.45</f>
        <v>6279.45</v>
      </c>
      <c r="G53" s="607"/>
      <c r="H53" s="607"/>
      <c r="I53" s="607"/>
      <c r="J53" s="607"/>
      <c r="K53" s="607"/>
      <c r="L53" s="607"/>
      <c r="M53" s="607"/>
      <c r="N53" s="607"/>
      <c r="O53" s="607"/>
      <c r="P53" s="607"/>
      <c r="Q53" s="607"/>
      <c r="R53" s="607"/>
      <c r="S53" s="607"/>
      <c r="T53" s="605">
        <f>2210</f>
        <v>2210</v>
      </c>
      <c r="U53" s="607"/>
      <c r="V53" s="607"/>
      <c r="W53" s="605">
        <f t="shared" si="11"/>
        <v>8489.4500000000007</v>
      </c>
      <c r="X53" s="605">
        <f t="shared" si="12"/>
        <v>8489.4500000000007</v>
      </c>
      <c r="Y53" s="605">
        <f t="shared" si="12"/>
        <v>8489.4500000000007</v>
      </c>
      <c r="Z53" s="607"/>
      <c r="AA53" s="607"/>
      <c r="AB53" s="607"/>
      <c r="AC53" s="607"/>
      <c r="AJ53" s="482">
        <f t="shared" si="2"/>
        <v>6279.4500000000007</v>
      </c>
      <c r="AK53" s="482">
        <f t="shared" si="3"/>
        <v>2210</v>
      </c>
    </row>
    <row r="54" spans="1:37">
      <c r="A54" s="478">
        <v>90</v>
      </c>
      <c r="B54" s="478" t="str">
        <f t="shared" si="16"/>
        <v>2202120</v>
      </c>
      <c r="C54" s="478">
        <v>2120</v>
      </c>
      <c r="D54" s="498" cm="1">
        <f t="array" ref="D54">INDEX('Form A Mapping'!C:C, MATCH(1, (C54 &gt;= 'Form A Mapping'!A:A) * (C54 &lt;= 'Form A Mapping'!B:B), 0))</f>
        <v>13</v>
      </c>
      <c r="E54" s="608" t="s">
        <v>480</v>
      </c>
      <c r="F54" s="605">
        <f>492.99</f>
        <v>492.99</v>
      </c>
      <c r="G54" s="607"/>
      <c r="H54" s="607"/>
      <c r="I54" s="607"/>
      <c r="J54" s="607"/>
      <c r="K54" s="607"/>
      <c r="L54" s="607"/>
      <c r="M54" s="607"/>
      <c r="N54" s="607"/>
      <c r="O54" s="607"/>
      <c r="P54" s="607"/>
      <c r="Q54" s="607"/>
      <c r="R54" s="607"/>
      <c r="S54" s="607"/>
      <c r="T54" s="605">
        <f>3126</f>
        <v>3126</v>
      </c>
      <c r="U54" s="607"/>
      <c r="V54" s="607"/>
      <c r="W54" s="605">
        <f t="shared" si="11"/>
        <v>3618.99</v>
      </c>
      <c r="X54" s="605">
        <f t="shared" si="12"/>
        <v>3618.99</v>
      </c>
      <c r="Y54" s="605">
        <f t="shared" si="12"/>
        <v>3618.99</v>
      </c>
      <c r="Z54" s="607"/>
      <c r="AA54" s="607"/>
      <c r="AB54" s="607"/>
      <c r="AC54" s="607"/>
      <c r="AJ54" s="482">
        <f t="shared" si="2"/>
        <v>492.98999999999978</v>
      </c>
      <c r="AK54" s="482">
        <f t="shared" si="3"/>
        <v>3126</v>
      </c>
    </row>
    <row r="55" spans="1:37">
      <c r="A55" s="478">
        <v>90</v>
      </c>
      <c r="B55" s="478" t="str">
        <f t="shared" si="16"/>
        <v>2202150</v>
      </c>
      <c r="C55" s="478">
        <v>2150</v>
      </c>
      <c r="D55" s="498" cm="1">
        <f t="array" ref="D55">INDEX('Form A Mapping'!C:C, MATCH(1, (C55 &gt;= 'Form A Mapping'!A:A) * (C55 &lt;= 'Form A Mapping'!B:B), 0))</f>
        <v>13</v>
      </c>
      <c r="E55" s="608" t="s">
        <v>732</v>
      </c>
      <c r="F55" s="605">
        <f>2477.71</f>
        <v>2477.71</v>
      </c>
      <c r="G55" s="607"/>
      <c r="H55" s="607"/>
      <c r="I55" s="607"/>
      <c r="J55" s="607"/>
      <c r="K55" s="607"/>
      <c r="L55" s="607"/>
      <c r="M55" s="607"/>
      <c r="N55" s="607"/>
      <c r="O55" s="607"/>
      <c r="P55" s="607"/>
      <c r="Q55" s="607"/>
      <c r="R55" s="607"/>
      <c r="S55" s="607"/>
      <c r="T55" s="607"/>
      <c r="U55" s="607"/>
      <c r="V55" s="607"/>
      <c r="W55" s="605">
        <f t="shared" si="11"/>
        <v>2477.71</v>
      </c>
      <c r="X55" s="605">
        <f t="shared" si="12"/>
        <v>2477.71</v>
      </c>
      <c r="Y55" s="605">
        <f t="shared" si="12"/>
        <v>2477.71</v>
      </c>
      <c r="Z55" s="607"/>
      <c r="AA55" s="607"/>
      <c r="AB55" s="607"/>
      <c r="AC55" s="607"/>
      <c r="AJ55" s="482">
        <f t="shared" si="2"/>
        <v>2477.71</v>
      </c>
      <c r="AK55" s="482">
        <f t="shared" si="3"/>
        <v>0</v>
      </c>
    </row>
    <row r="56" spans="1:37">
      <c r="A56" s="478">
        <v>90</v>
      </c>
      <c r="B56" s="478" t="str">
        <f t="shared" si="16"/>
        <v>2202190</v>
      </c>
      <c r="C56" s="478">
        <v>2190</v>
      </c>
      <c r="D56" s="498" cm="1">
        <f t="array" ref="D56">INDEX('Form A Mapping'!C:C, MATCH(1, (C56 &gt;= 'Form A Mapping'!A:A) * (C56 &lt;= 'Form A Mapping'!B:B), 0))</f>
        <v>13</v>
      </c>
      <c r="E56" s="608" t="s">
        <v>481</v>
      </c>
      <c r="F56" s="605">
        <f>1825.78</f>
        <v>1825.78</v>
      </c>
      <c r="G56" s="607"/>
      <c r="H56" s="607"/>
      <c r="I56" s="607"/>
      <c r="J56" s="607"/>
      <c r="K56" s="607"/>
      <c r="L56" s="607"/>
      <c r="M56" s="607"/>
      <c r="N56" s="607"/>
      <c r="O56" s="607"/>
      <c r="P56" s="607"/>
      <c r="Q56" s="607"/>
      <c r="R56" s="607"/>
      <c r="S56" s="607"/>
      <c r="T56" s="607"/>
      <c r="U56" s="607"/>
      <c r="V56" s="607"/>
      <c r="W56" s="605">
        <f t="shared" si="11"/>
        <v>1825.78</v>
      </c>
      <c r="X56" s="605">
        <f t="shared" si="12"/>
        <v>1825.78</v>
      </c>
      <c r="Y56" s="605">
        <f t="shared" si="12"/>
        <v>1825.78</v>
      </c>
      <c r="Z56" s="607"/>
      <c r="AA56" s="607"/>
      <c r="AB56" s="607"/>
      <c r="AC56" s="607"/>
      <c r="AJ56" s="482">
        <f t="shared" si="2"/>
        <v>1825.78</v>
      </c>
      <c r="AK56" s="482">
        <f t="shared" si="3"/>
        <v>0</v>
      </c>
    </row>
    <row r="57" spans="1:37">
      <c r="A57" s="478">
        <v>90</v>
      </c>
      <c r="B57" s="478" t="str">
        <f t="shared" si="16"/>
        <v>2202220</v>
      </c>
      <c r="C57" s="478">
        <v>2220</v>
      </c>
      <c r="D57" s="498" cm="1">
        <f t="array" ref="D57">INDEX('Form A Mapping'!C:C, MATCH(1, (C57 &gt;= 'Form A Mapping'!A:A) * (C57 &lt;= 'Form A Mapping'!B:B), 0))</f>
        <v>14</v>
      </c>
      <c r="E57" s="608" t="s">
        <v>482</v>
      </c>
      <c r="F57" s="605">
        <f>-1494.15</f>
        <v>-1494.15</v>
      </c>
      <c r="G57" s="607"/>
      <c r="H57" s="607"/>
      <c r="I57" s="607"/>
      <c r="J57" s="605">
        <f>10245</f>
        <v>10245</v>
      </c>
      <c r="K57" s="607"/>
      <c r="L57" s="607"/>
      <c r="M57" s="607"/>
      <c r="N57" s="607"/>
      <c r="O57" s="607"/>
      <c r="P57" s="607"/>
      <c r="Q57" s="607"/>
      <c r="R57" s="607"/>
      <c r="S57" s="607"/>
      <c r="T57" s="607"/>
      <c r="U57" s="607"/>
      <c r="V57" s="607"/>
      <c r="W57" s="605">
        <f t="shared" si="11"/>
        <v>8750.85</v>
      </c>
      <c r="X57" s="605">
        <f t="shared" si="12"/>
        <v>8750.85</v>
      </c>
      <c r="Y57" s="605">
        <f t="shared" si="12"/>
        <v>8750.85</v>
      </c>
      <c r="Z57" s="607"/>
      <c r="AA57" s="607"/>
      <c r="AB57" s="607"/>
      <c r="AC57" s="607"/>
      <c r="AJ57" s="482">
        <f t="shared" si="2"/>
        <v>-1494.1499999999996</v>
      </c>
      <c r="AK57" s="482">
        <f t="shared" si="3"/>
        <v>10245</v>
      </c>
    </row>
    <row r="58" spans="1:37">
      <c r="A58" s="478">
        <v>90</v>
      </c>
      <c r="B58" s="478" t="str">
        <f t="shared" si="16"/>
        <v>2202400</v>
      </c>
      <c r="C58" s="478">
        <v>2400</v>
      </c>
      <c r="D58" s="498" cm="1">
        <f t="array" ref="D58">INDEX('Form A Mapping'!C:C, MATCH(1, (C58 &gt;= 'Form A Mapping'!A:A) * (C58 &lt;= 'Form A Mapping'!B:B), 0))</f>
        <v>16</v>
      </c>
      <c r="E58" s="608" t="s">
        <v>483</v>
      </c>
      <c r="F58" s="605">
        <f>23283.3</f>
        <v>23283.3</v>
      </c>
      <c r="G58" s="607"/>
      <c r="H58" s="607"/>
      <c r="I58" s="607"/>
      <c r="J58" s="607"/>
      <c r="K58" s="607"/>
      <c r="L58" s="607"/>
      <c r="M58" s="607"/>
      <c r="N58" s="607"/>
      <c r="O58" s="607"/>
      <c r="P58" s="607"/>
      <c r="Q58" s="607"/>
      <c r="R58" s="607"/>
      <c r="S58" s="607"/>
      <c r="T58" s="605">
        <f>1782</f>
        <v>1782</v>
      </c>
      <c r="U58" s="607"/>
      <c r="V58" s="607"/>
      <c r="W58" s="605">
        <f t="shared" si="11"/>
        <v>25065.3</v>
      </c>
      <c r="X58" s="605">
        <f t="shared" si="12"/>
        <v>25065.3</v>
      </c>
      <c r="Y58" s="605">
        <f t="shared" si="12"/>
        <v>25065.3</v>
      </c>
      <c r="Z58" s="607"/>
      <c r="AA58" s="607"/>
      <c r="AB58" s="607"/>
      <c r="AC58" s="607"/>
      <c r="AJ58" s="482">
        <f t="shared" si="2"/>
        <v>23283.3</v>
      </c>
      <c r="AK58" s="482">
        <f t="shared" si="3"/>
        <v>1782</v>
      </c>
    </row>
    <row r="59" spans="1:37">
      <c r="A59" s="478">
        <v>90</v>
      </c>
      <c r="B59" s="478" t="str">
        <f t="shared" si="16"/>
        <v>2202690</v>
      </c>
      <c r="C59" s="478">
        <v>2690</v>
      </c>
      <c r="D59" s="498" cm="1">
        <f t="array" ref="D59">INDEX('Form A Mapping'!C:C, MATCH(1, (C59 &gt;= 'Form A Mapping'!A:A) * (C59 &lt;= 'Form A Mapping'!B:B), 0))</f>
        <v>18</v>
      </c>
      <c r="E59" s="608" t="s">
        <v>484</v>
      </c>
      <c r="F59" s="605">
        <f>3967.44</f>
        <v>3967.44</v>
      </c>
      <c r="G59" s="607"/>
      <c r="H59" s="607"/>
      <c r="I59" s="607"/>
      <c r="J59" s="607"/>
      <c r="K59" s="607"/>
      <c r="L59" s="607"/>
      <c r="M59" s="607"/>
      <c r="N59" s="607"/>
      <c r="O59" s="607"/>
      <c r="P59" s="607"/>
      <c r="Q59" s="607"/>
      <c r="R59" s="607"/>
      <c r="S59" s="607"/>
      <c r="T59" s="607"/>
      <c r="U59" s="607"/>
      <c r="V59" s="607"/>
      <c r="W59" s="605">
        <f t="shared" si="11"/>
        <v>3967.44</v>
      </c>
      <c r="X59" s="605">
        <f t="shared" si="12"/>
        <v>3967.44</v>
      </c>
      <c r="Y59" s="605">
        <f t="shared" si="12"/>
        <v>3967.44</v>
      </c>
      <c r="Z59" s="607"/>
      <c r="AA59" s="607"/>
      <c r="AB59" s="607"/>
      <c r="AC59" s="607"/>
      <c r="AJ59" s="482">
        <f t="shared" si="2"/>
        <v>3967.44</v>
      </c>
      <c r="AK59" s="482">
        <f t="shared" si="3"/>
        <v>0</v>
      </c>
    </row>
    <row r="60" spans="1:37">
      <c r="E60" s="608" t="s">
        <v>485</v>
      </c>
      <c r="F60" s="606">
        <f t="shared" ref="F60:V60" si="17">((((((((F51)+(F52))+(F53))+(F54))+(F55))+(F56))+(F57))+(F58))+(F59)</f>
        <v>54737.68</v>
      </c>
      <c r="G60" s="606">
        <f t="shared" si="17"/>
        <v>0</v>
      </c>
      <c r="H60" s="606">
        <f t="shared" si="17"/>
        <v>0</v>
      </c>
      <c r="I60" s="606">
        <f t="shared" si="17"/>
        <v>0</v>
      </c>
      <c r="J60" s="606">
        <f t="shared" si="17"/>
        <v>13485</v>
      </c>
      <c r="K60" s="606">
        <f t="shared" si="17"/>
        <v>32118</v>
      </c>
      <c r="L60" s="606">
        <f t="shared" si="17"/>
        <v>0</v>
      </c>
      <c r="M60" s="606">
        <f t="shared" si="17"/>
        <v>0</v>
      </c>
      <c r="N60" s="606">
        <f t="shared" si="17"/>
        <v>0</v>
      </c>
      <c r="O60" s="606">
        <f t="shared" si="17"/>
        <v>0</v>
      </c>
      <c r="P60" s="606">
        <f t="shared" si="17"/>
        <v>0</v>
      </c>
      <c r="Q60" s="606">
        <f t="shared" si="17"/>
        <v>0</v>
      </c>
      <c r="R60" s="606">
        <f t="shared" si="17"/>
        <v>0</v>
      </c>
      <c r="S60" s="606">
        <f t="shared" si="17"/>
        <v>0</v>
      </c>
      <c r="T60" s="606">
        <f t="shared" si="17"/>
        <v>7118</v>
      </c>
      <c r="U60" s="606">
        <f t="shared" si="17"/>
        <v>0</v>
      </c>
      <c r="V60" s="606">
        <f t="shared" si="17"/>
        <v>0</v>
      </c>
      <c r="W60" s="606">
        <f t="shared" si="11"/>
        <v>107458.68</v>
      </c>
      <c r="X60" s="606">
        <f t="shared" si="12"/>
        <v>107458.68</v>
      </c>
      <c r="Y60" s="606">
        <f t="shared" si="12"/>
        <v>107458.68</v>
      </c>
      <c r="Z60" s="607"/>
      <c r="AA60" s="607"/>
      <c r="AB60" s="607"/>
      <c r="AC60" s="607"/>
      <c r="AJ60" s="482">
        <f t="shared" si="2"/>
        <v>54737.679999999993</v>
      </c>
      <c r="AK60" s="482">
        <f t="shared" si="3"/>
        <v>52721</v>
      </c>
    </row>
    <row r="61" spans="1:37">
      <c r="A61" s="478">
        <v>91</v>
      </c>
      <c r="B61" s="478" t="str">
        <f t="shared" ref="B61:B69" si="18">LEFT(TRIM(E61), 7)</f>
        <v>2250000</v>
      </c>
      <c r="C61" s="478">
        <v>0</v>
      </c>
      <c r="D61" s="498" cm="1">
        <f t="array" ref="D61">INDEX('Form A Mapping'!C:C, MATCH(1, (C61 &gt;= 'Form A Mapping'!A:A) * (C61 &lt;= 'Form A Mapping'!B:B), 0))</f>
        <v>0</v>
      </c>
      <c r="E61" s="608" t="s">
        <v>486</v>
      </c>
      <c r="F61" s="607"/>
      <c r="G61" s="607"/>
      <c r="H61" s="607"/>
      <c r="I61" s="607"/>
      <c r="J61" s="607"/>
      <c r="K61" s="607"/>
      <c r="L61" s="607"/>
      <c r="M61" s="607"/>
      <c r="N61" s="607"/>
      <c r="O61" s="607"/>
      <c r="P61" s="607"/>
      <c r="Q61" s="607"/>
      <c r="R61" s="607"/>
      <c r="S61" s="607"/>
      <c r="T61" s="607"/>
      <c r="U61" s="607"/>
      <c r="V61" s="607"/>
      <c r="W61" s="605">
        <f t="shared" si="11"/>
        <v>0</v>
      </c>
      <c r="X61" s="605">
        <f t="shared" si="12"/>
        <v>0</v>
      </c>
      <c r="Y61" s="605">
        <f t="shared" si="12"/>
        <v>0</v>
      </c>
      <c r="Z61" s="607"/>
      <c r="AA61" s="607"/>
      <c r="AB61" s="607"/>
      <c r="AC61" s="607"/>
      <c r="AJ61" s="482">
        <f t="shared" si="2"/>
        <v>0</v>
      </c>
      <c r="AK61" s="482">
        <f t="shared" si="3"/>
        <v>0</v>
      </c>
    </row>
    <row r="62" spans="1:37">
      <c r="A62" s="478">
        <v>91</v>
      </c>
      <c r="B62" s="478" t="str">
        <f t="shared" si="18"/>
        <v>2251100</v>
      </c>
      <c r="C62" s="478">
        <v>1100</v>
      </c>
      <c r="D62" s="498" cm="1">
        <f t="array" ref="D62">INDEX('Form A Mapping'!C:C, MATCH(1, (C62 &gt;= 'Form A Mapping'!A:A) * (C62 &lt;= 'Form A Mapping'!B:B), 0))</f>
        <v>7</v>
      </c>
      <c r="E62" s="608" t="s">
        <v>487</v>
      </c>
      <c r="F62" s="605">
        <f>4169.13</f>
        <v>4169.13</v>
      </c>
      <c r="G62" s="607"/>
      <c r="H62" s="607"/>
      <c r="I62" s="607"/>
      <c r="J62" s="605">
        <f>758</f>
        <v>758</v>
      </c>
      <c r="K62" s="605">
        <f>7514</f>
        <v>7514</v>
      </c>
      <c r="L62" s="607"/>
      <c r="M62" s="607"/>
      <c r="N62" s="607"/>
      <c r="O62" s="607"/>
      <c r="P62" s="607"/>
      <c r="Q62" s="607"/>
      <c r="R62" s="607"/>
      <c r="S62" s="607"/>
      <c r="T62" s="607"/>
      <c r="U62" s="607"/>
      <c r="V62" s="607"/>
      <c r="W62" s="605">
        <f t="shared" si="11"/>
        <v>12441.130000000001</v>
      </c>
      <c r="X62" s="605">
        <f t="shared" si="12"/>
        <v>12441.130000000001</v>
      </c>
      <c r="Y62" s="605">
        <f t="shared" si="12"/>
        <v>12441.130000000001</v>
      </c>
      <c r="Z62" s="607"/>
      <c r="AA62" s="607"/>
      <c r="AB62" s="607"/>
      <c r="AC62" s="607"/>
      <c r="AJ62" s="482">
        <f t="shared" si="2"/>
        <v>4169.130000000001</v>
      </c>
      <c r="AK62" s="482">
        <f t="shared" si="3"/>
        <v>8272</v>
      </c>
    </row>
    <row r="63" spans="1:37">
      <c r="A63" s="478">
        <v>91</v>
      </c>
      <c r="B63" s="478" t="str">
        <f t="shared" si="18"/>
        <v>2251210</v>
      </c>
      <c r="C63" s="478">
        <v>1210</v>
      </c>
      <c r="D63" s="498" cm="1">
        <f t="array" ref="D63">INDEX('Form A Mapping'!C:C, MATCH(1, (C63 &gt;= 'Form A Mapping'!A:A) * (C63 &lt;= 'Form A Mapping'!B:B), 0))</f>
        <v>8</v>
      </c>
      <c r="E63" s="608" t="s">
        <v>488</v>
      </c>
      <c r="F63" s="605">
        <f>1468.43</f>
        <v>1468.43</v>
      </c>
      <c r="G63" s="607"/>
      <c r="H63" s="607"/>
      <c r="I63" s="607"/>
      <c r="J63" s="607"/>
      <c r="K63" s="607"/>
      <c r="L63" s="607"/>
      <c r="M63" s="607"/>
      <c r="N63" s="607"/>
      <c r="O63" s="607"/>
      <c r="P63" s="607"/>
      <c r="Q63" s="607"/>
      <c r="R63" s="607"/>
      <c r="S63" s="607"/>
      <c r="T63" s="605">
        <f>517</f>
        <v>517</v>
      </c>
      <c r="U63" s="607"/>
      <c r="V63" s="607"/>
      <c r="W63" s="605">
        <f t="shared" si="11"/>
        <v>1985.43</v>
      </c>
      <c r="X63" s="605">
        <f t="shared" si="12"/>
        <v>1985.43</v>
      </c>
      <c r="Y63" s="605">
        <f t="shared" si="12"/>
        <v>1985.43</v>
      </c>
      <c r="Z63" s="607"/>
      <c r="AA63" s="607"/>
      <c r="AB63" s="607"/>
      <c r="AC63" s="607"/>
      <c r="AJ63" s="482">
        <f t="shared" si="2"/>
        <v>1468.43</v>
      </c>
      <c r="AK63" s="482">
        <f t="shared" si="3"/>
        <v>517</v>
      </c>
    </row>
    <row r="64" spans="1:37">
      <c r="A64" s="478">
        <v>91</v>
      </c>
      <c r="B64" s="478" t="str">
        <f t="shared" si="18"/>
        <v>2252120</v>
      </c>
      <c r="C64" s="478">
        <v>2120</v>
      </c>
      <c r="D64" s="498" cm="1">
        <f t="array" ref="D64">INDEX('Form A Mapping'!C:C, MATCH(1, (C64 &gt;= 'Form A Mapping'!A:A) * (C64 &lt;= 'Form A Mapping'!B:B), 0))</f>
        <v>13</v>
      </c>
      <c r="E64" s="608" t="s">
        <v>489</v>
      </c>
      <c r="F64" s="605">
        <f>115.31</f>
        <v>115.31</v>
      </c>
      <c r="G64" s="607"/>
      <c r="H64" s="607"/>
      <c r="I64" s="607"/>
      <c r="J64" s="607"/>
      <c r="K64" s="607"/>
      <c r="L64" s="607"/>
      <c r="M64" s="607"/>
      <c r="N64" s="607"/>
      <c r="O64" s="607"/>
      <c r="P64" s="607"/>
      <c r="Q64" s="607"/>
      <c r="R64" s="607"/>
      <c r="S64" s="607"/>
      <c r="T64" s="605">
        <f>731</f>
        <v>731</v>
      </c>
      <c r="U64" s="607"/>
      <c r="V64" s="607"/>
      <c r="W64" s="605">
        <f t="shared" si="11"/>
        <v>846.31</v>
      </c>
      <c r="X64" s="605">
        <f t="shared" si="12"/>
        <v>846.31</v>
      </c>
      <c r="Y64" s="605">
        <f t="shared" si="12"/>
        <v>846.31</v>
      </c>
      <c r="Z64" s="607"/>
      <c r="AA64" s="607"/>
      <c r="AB64" s="607"/>
      <c r="AC64" s="607"/>
      <c r="AJ64" s="482">
        <f t="shared" si="2"/>
        <v>115.30999999999995</v>
      </c>
      <c r="AK64" s="482">
        <f t="shared" si="3"/>
        <v>731</v>
      </c>
    </row>
    <row r="65" spans="1:37">
      <c r="A65" s="478">
        <v>91</v>
      </c>
      <c r="B65" s="478" t="str">
        <f t="shared" si="18"/>
        <v>2252150</v>
      </c>
      <c r="C65" s="478">
        <v>2150</v>
      </c>
      <c r="D65" s="498" cm="1">
        <f t="array" ref="D65">INDEX('Form A Mapping'!C:C, MATCH(1, (C65 &gt;= 'Form A Mapping'!A:A) * (C65 &lt;= 'Form A Mapping'!B:B), 0))</f>
        <v>13</v>
      </c>
      <c r="E65" s="608" t="s">
        <v>733</v>
      </c>
      <c r="F65" s="605">
        <f>579.47</f>
        <v>579.47</v>
      </c>
      <c r="G65" s="607"/>
      <c r="H65" s="607"/>
      <c r="I65" s="607"/>
      <c r="J65" s="607"/>
      <c r="K65" s="607"/>
      <c r="L65" s="607"/>
      <c r="M65" s="607"/>
      <c r="N65" s="607"/>
      <c r="O65" s="607"/>
      <c r="P65" s="607"/>
      <c r="Q65" s="607"/>
      <c r="R65" s="607"/>
      <c r="S65" s="607"/>
      <c r="T65" s="607"/>
      <c r="U65" s="607"/>
      <c r="V65" s="607"/>
      <c r="W65" s="605">
        <f t="shared" si="11"/>
        <v>579.47</v>
      </c>
      <c r="X65" s="605">
        <f t="shared" si="12"/>
        <v>579.47</v>
      </c>
      <c r="Y65" s="605">
        <f t="shared" si="12"/>
        <v>579.47</v>
      </c>
      <c r="Z65" s="607"/>
      <c r="AA65" s="607"/>
      <c r="AB65" s="607"/>
      <c r="AC65" s="607"/>
      <c r="AJ65" s="482">
        <f t="shared" si="2"/>
        <v>579.47</v>
      </c>
      <c r="AK65" s="482">
        <f t="shared" si="3"/>
        <v>0</v>
      </c>
    </row>
    <row r="66" spans="1:37">
      <c r="A66" s="478">
        <v>91</v>
      </c>
      <c r="B66" s="478" t="str">
        <f t="shared" si="18"/>
        <v>2252190</v>
      </c>
      <c r="C66" s="478">
        <v>2190</v>
      </c>
      <c r="D66" s="498" cm="1">
        <f t="array" ref="D66">INDEX('Form A Mapping'!C:C, MATCH(1, (C66 &gt;= 'Form A Mapping'!A:A) * (C66 &lt;= 'Form A Mapping'!B:B), 0))</f>
        <v>13</v>
      </c>
      <c r="E66" s="608" t="s">
        <v>490</v>
      </c>
      <c r="F66" s="605">
        <f>427.01</f>
        <v>427.01</v>
      </c>
      <c r="G66" s="607"/>
      <c r="H66" s="607"/>
      <c r="I66" s="607"/>
      <c r="J66" s="607"/>
      <c r="K66" s="607"/>
      <c r="L66" s="607"/>
      <c r="M66" s="607"/>
      <c r="N66" s="607"/>
      <c r="O66" s="607"/>
      <c r="P66" s="607"/>
      <c r="Q66" s="607"/>
      <c r="R66" s="607"/>
      <c r="S66" s="607"/>
      <c r="T66" s="607"/>
      <c r="U66" s="607"/>
      <c r="V66" s="607"/>
      <c r="W66" s="605">
        <f t="shared" si="11"/>
        <v>427.01</v>
      </c>
      <c r="X66" s="605">
        <f t="shared" si="12"/>
        <v>427.01</v>
      </c>
      <c r="Y66" s="605">
        <f t="shared" si="12"/>
        <v>427.01</v>
      </c>
      <c r="Z66" s="607"/>
      <c r="AA66" s="607"/>
      <c r="AB66" s="607"/>
      <c r="AC66" s="607"/>
      <c r="AJ66" s="482">
        <f t="shared" si="2"/>
        <v>427.01</v>
      </c>
      <c r="AK66" s="482">
        <f t="shared" si="3"/>
        <v>0</v>
      </c>
    </row>
    <row r="67" spans="1:37">
      <c r="A67" s="478">
        <v>91</v>
      </c>
      <c r="B67" s="478" t="str">
        <f t="shared" si="18"/>
        <v>2252220</v>
      </c>
      <c r="C67" s="478">
        <v>2220</v>
      </c>
      <c r="D67" s="498" cm="1">
        <f t="array" ref="D67">INDEX('Form A Mapping'!C:C, MATCH(1, (C67 &gt;= 'Form A Mapping'!A:A) * (C67 &lt;= 'Form A Mapping'!B:B), 0))</f>
        <v>14</v>
      </c>
      <c r="E67" s="608" t="s">
        <v>491</v>
      </c>
      <c r="F67" s="605">
        <f>-349.44</f>
        <v>-349.44</v>
      </c>
      <c r="G67" s="607"/>
      <c r="H67" s="607"/>
      <c r="I67" s="607"/>
      <c r="J67" s="605">
        <f>2396</f>
        <v>2396</v>
      </c>
      <c r="K67" s="607"/>
      <c r="L67" s="607"/>
      <c r="M67" s="607"/>
      <c r="N67" s="607"/>
      <c r="O67" s="607"/>
      <c r="P67" s="607"/>
      <c r="Q67" s="607"/>
      <c r="R67" s="607"/>
      <c r="S67" s="607"/>
      <c r="T67" s="607"/>
      <c r="U67" s="607"/>
      <c r="V67" s="607"/>
      <c r="W67" s="605">
        <f t="shared" si="11"/>
        <v>2046.56</v>
      </c>
      <c r="X67" s="605">
        <f t="shared" si="12"/>
        <v>2046.56</v>
      </c>
      <c r="Y67" s="605">
        <f t="shared" si="12"/>
        <v>2046.56</v>
      </c>
      <c r="Z67" s="607"/>
      <c r="AA67" s="607"/>
      <c r="AB67" s="607"/>
      <c r="AC67" s="607"/>
      <c r="AJ67" s="482">
        <f t="shared" ref="AJ67:AJ130" si="19">Y67-AK67</f>
        <v>-349.44000000000005</v>
      </c>
      <c r="AK67" s="482">
        <f t="shared" ref="AK67:AK130" si="20">H67+I67+J67+K67+L67+M67+N67+O67+R67+S67+T67+U67+V67</f>
        <v>2396</v>
      </c>
    </row>
    <row r="68" spans="1:37">
      <c r="A68" s="478">
        <v>91</v>
      </c>
      <c r="B68" s="478" t="str">
        <f t="shared" si="18"/>
        <v>2252400</v>
      </c>
      <c r="C68" s="478">
        <v>2400</v>
      </c>
      <c r="D68" s="498" cm="1">
        <f t="array" ref="D68">INDEX('Form A Mapping'!C:C, MATCH(1, (C68 &gt;= 'Form A Mapping'!A:A) * (C68 &lt;= 'Form A Mapping'!B:B), 0))</f>
        <v>16</v>
      </c>
      <c r="E68" s="608" t="s">
        <v>492</v>
      </c>
      <c r="F68" s="605">
        <f>5535.37</f>
        <v>5535.37</v>
      </c>
      <c r="G68" s="607"/>
      <c r="H68" s="607"/>
      <c r="I68" s="607"/>
      <c r="J68" s="607"/>
      <c r="K68" s="607"/>
      <c r="L68" s="607"/>
      <c r="M68" s="607"/>
      <c r="N68" s="607"/>
      <c r="O68" s="607"/>
      <c r="P68" s="607"/>
      <c r="Q68" s="607"/>
      <c r="R68" s="607"/>
      <c r="S68" s="607"/>
      <c r="T68" s="605">
        <f>417</f>
        <v>417</v>
      </c>
      <c r="U68" s="607"/>
      <c r="V68" s="607"/>
      <c r="W68" s="605">
        <f t="shared" si="11"/>
        <v>5952.37</v>
      </c>
      <c r="X68" s="605">
        <f t="shared" si="12"/>
        <v>5952.37</v>
      </c>
      <c r="Y68" s="605">
        <f t="shared" si="12"/>
        <v>5952.37</v>
      </c>
      <c r="Z68" s="607"/>
      <c r="AA68" s="607"/>
      <c r="AB68" s="607"/>
      <c r="AC68" s="607"/>
      <c r="AJ68" s="482">
        <f t="shared" si="19"/>
        <v>5535.37</v>
      </c>
      <c r="AK68" s="482">
        <f t="shared" si="20"/>
        <v>417</v>
      </c>
    </row>
    <row r="69" spans="1:37">
      <c r="A69" s="478">
        <v>91</v>
      </c>
      <c r="B69" s="478" t="str">
        <f t="shared" si="18"/>
        <v>2252690</v>
      </c>
      <c r="C69" s="478">
        <v>2690</v>
      </c>
      <c r="D69" s="498" cm="1">
        <f t="array" ref="D69">INDEX('Form A Mapping'!C:C, MATCH(1, (C69 &gt;= 'Form A Mapping'!A:A) * (C69 &lt;= 'Form A Mapping'!B:B), 0))</f>
        <v>18</v>
      </c>
      <c r="E69" s="608" t="s">
        <v>493</v>
      </c>
      <c r="F69" s="605">
        <f>927.97</f>
        <v>927.97</v>
      </c>
      <c r="G69" s="607"/>
      <c r="H69" s="607"/>
      <c r="I69" s="607"/>
      <c r="J69" s="607"/>
      <c r="K69" s="607"/>
      <c r="L69" s="607"/>
      <c r="M69" s="607"/>
      <c r="N69" s="607"/>
      <c r="O69" s="607"/>
      <c r="P69" s="607"/>
      <c r="Q69" s="607"/>
      <c r="R69" s="607"/>
      <c r="S69" s="607"/>
      <c r="T69" s="607"/>
      <c r="U69" s="607"/>
      <c r="V69" s="607"/>
      <c r="W69" s="605">
        <f t="shared" si="11"/>
        <v>927.97</v>
      </c>
      <c r="X69" s="605">
        <f t="shared" si="12"/>
        <v>927.97</v>
      </c>
      <c r="Y69" s="605">
        <f t="shared" si="12"/>
        <v>927.97</v>
      </c>
      <c r="Z69" s="607"/>
      <c r="AA69" s="607"/>
      <c r="AB69" s="607"/>
      <c r="AC69" s="607"/>
      <c r="AJ69" s="482">
        <f t="shared" si="19"/>
        <v>927.97</v>
      </c>
      <c r="AK69" s="482">
        <f t="shared" si="20"/>
        <v>0</v>
      </c>
    </row>
    <row r="70" spans="1:37">
      <c r="E70" s="608" t="s">
        <v>494</v>
      </c>
      <c r="F70" s="606">
        <f t="shared" ref="F70:V70" si="21">((((((((F61)+(F62))+(F63))+(F64))+(F65))+(F66))+(F67))+(F68))+(F69)</f>
        <v>12873.250000000002</v>
      </c>
      <c r="G70" s="606">
        <f t="shared" si="21"/>
        <v>0</v>
      </c>
      <c r="H70" s="606">
        <f t="shared" si="21"/>
        <v>0</v>
      </c>
      <c r="I70" s="606">
        <f t="shared" si="21"/>
        <v>0</v>
      </c>
      <c r="J70" s="606">
        <f t="shared" si="21"/>
        <v>3154</v>
      </c>
      <c r="K70" s="606">
        <f t="shared" si="21"/>
        <v>7514</v>
      </c>
      <c r="L70" s="606">
        <f t="shared" si="21"/>
        <v>0</v>
      </c>
      <c r="M70" s="606">
        <f t="shared" si="21"/>
        <v>0</v>
      </c>
      <c r="N70" s="606">
        <f t="shared" si="21"/>
        <v>0</v>
      </c>
      <c r="O70" s="606">
        <f t="shared" si="21"/>
        <v>0</v>
      </c>
      <c r="P70" s="606">
        <f t="shared" si="21"/>
        <v>0</v>
      </c>
      <c r="Q70" s="606">
        <f t="shared" si="21"/>
        <v>0</v>
      </c>
      <c r="R70" s="606">
        <f t="shared" si="21"/>
        <v>0</v>
      </c>
      <c r="S70" s="606">
        <f t="shared" si="21"/>
        <v>0</v>
      </c>
      <c r="T70" s="606">
        <f t="shared" si="21"/>
        <v>1665</v>
      </c>
      <c r="U70" s="606">
        <f t="shared" si="21"/>
        <v>0</v>
      </c>
      <c r="V70" s="606">
        <f t="shared" si="21"/>
        <v>0</v>
      </c>
      <c r="W70" s="606">
        <f t="shared" si="11"/>
        <v>25206.25</v>
      </c>
      <c r="X70" s="606">
        <f t="shared" si="12"/>
        <v>25206.25</v>
      </c>
      <c r="Y70" s="606">
        <f t="shared" si="12"/>
        <v>25206.25</v>
      </c>
      <c r="Z70" s="607"/>
      <c r="AA70" s="607"/>
      <c r="AB70" s="607"/>
      <c r="AC70" s="607"/>
      <c r="AJ70" s="482">
        <f t="shared" si="19"/>
        <v>12873.25</v>
      </c>
      <c r="AK70" s="482">
        <f t="shared" si="20"/>
        <v>12333</v>
      </c>
    </row>
    <row r="71" spans="1:37">
      <c r="A71" s="478">
        <v>92</v>
      </c>
      <c r="B71" s="478" t="str">
        <f>LEFT(TRIM(E71), 7)</f>
        <v>2390000</v>
      </c>
      <c r="C71" s="478">
        <v>0</v>
      </c>
      <c r="D71" s="498" cm="1">
        <f t="array" ref="D71">INDEX('Form A Mapping'!C:C, MATCH(1, (C71 &gt;= 'Form A Mapping'!A:A) * (C71 &lt;= 'Form A Mapping'!B:B), 0))</f>
        <v>0</v>
      </c>
      <c r="E71" s="608" t="s">
        <v>495</v>
      </c>
      <c r="F71" s="607"/>
      <c r="G71" s="607"/>
      <c r="H71" s="607"/>
      <c r="I71" s="607"/>
      <c r="J71" s="607"/>
      <c r="K71" s="607"/>
      <c r="L71" s="607"/>
      <c r="M71" s="607"/>
      <c r="N71" s="607"/>
      <c r="O71" s="607"/>
      <c r="P71" s="607"/>
      <c r="Q71" s="607"/>
      <c r="R71" s="607"/>
      <c r="S71" s="607"/>
      <c r="T71" s="607"/>
      <c r="U71" s="607"/>
      <c r="V71" s="607"/>
      <c r="W71" s="605">
        <f t="shared" si="11"/>
        <v>0</v>
      </c>
      <c r="X71" s="605">
        <f t="shared" si="12"/>
        <v>0</v>
      </c>
      <c r="Y71" s="605">
        <f t="shared" si="12"/>
        <v>0</v>
      </c>
      <c r="Z71" s="607"/>
      <c r="AA71" s="607"/>
      <c r="AB71" s="607"/>
      <c r="AC71" s="607"/>
      <c r="AJ71" s="482">
        <f t="shared" si="19"/>
        <v>0</v>
      </c>
      <c r="AK71" s="482">
        <f t="shared" si="20"/>
        <v>0</v>
      </c>
    </row>
    <row r="72" spans="1:37">
      <c r="A72" s="478">
        <v>92</v>
      </c>
      <c r="B72" s="478" t="str">
        <f>LEFT(TRIM(E72), 7)</f>
        <v>2391100</v>
      </c>
      <c r="C72" s="478">
        <v>1100</v>
      </c>
      <c r="D72" s="498" cm="1">
        <f t="array" ref="D72">INDEX('Form A Mapping'!C:C, MATCH(1, (C72 &gt;= 'Form A Mapping'!A:A) * (C72 &lt;= 'Form A Mapping'!B:B), 0))</f>
        <v>7</v>
      </c>
      <c r="E72" s="608" t="s">
        <v>496</v>
      </c>
      <c r="F72" s="605">
        <f>11154.3</f>
        <v>11154.3</v>
      </c>
      <c r="G72" s="607"/>
      <c r="H72" s="607"/>
      <c r="I72" s="607"/>
      <c r="J72" s="605">
        <f>125</f>
        <v>125</v>
      </c>
      <c r="K72" s="605">
        <f>1547</f>
        <v>1547</v>
      </c>
      <c r="L72" s="607"/>
      <c r="M72" s="607"/>
      <c r="N72" s="607"/>
      <c r="O72" s="607"/>
      <c r="P72" s="607"/>
      <c r="Q72" s="607"/>
      <c r="R72" s="607"/>
      <c r="S72" s="607"/>
      <c r="T72" s="607"/>
      <c r="U72" s="607"/>
      <c r="V72" s="607"/>
      <c r="W72" s="605">
        <f t="shared" si="11"/>
        <v>12826.3</v>
      </c>
      <c r="X72" s="605">
        <f t="shared" si="12"/>
        <v>12826.3</v>
      </c>
      <c r="Y72" s="605">
        <f t="shared" si="12"/>
        <v>12826.3</v>
      </c>
      <c r="Z72" s="607"/>
      <c r="AA72" s="607"/>
      <c r="AB72" s="607"/>
      <c r="AC72" s="607"/>
      <c r="AJ72" s="482">
        <f t="shared" si="19"/>
        <v>11154.3</v>
      </c>
      <c r="AK72" s="482">
        <f t="shared" si="20"/>
        <v>1672</v>
      </c>
    </row>
    <row r="73" spans="1:37">
      <c r="A73" s="478">
        <v>92</v>
      </c>
      <c r="B73" s="478" t="str">
        <f>LEFT(TRIM(E73), 7)</f>
        <v>2392120</v>
      </c>
      <c r="C73" s="478">
        <v>2120</v>
      </c>
      <c r="D73" s="498" cm="1">
        <f t="array" ref="D73">INDEX('Form A Mapping'!C:C, MATCH(1, (C73 &gt;= 'Form A Mapping'!A:A) * (C73 &lt;= 'Form A Mapping'!B:B), 0))</f>
        <v>13</v>
      </c>
      <c r="E73" s="608" t="s">
        <v>497</v>
      </c>
      <c r="F73" s="605">
        <f>-21.68</f>
        <v>-21.68</v>
      </c>
      <c r="G73" s="607"/>
      <c r="H73" s="607"/>
      <c r="I73" s="607"/>
      <c r="J73" s="607"/>
      <c r="K73" s="607"/>
      <c r="L73" s="607"/>
      <c r="M73" s="607"/>
      <c r="N73" s="607"/>
      <c r="O73" s="607"/>
      <c r="P73" s="607"/>
      <c r="Q73" s="607"/>
      <c r="R73" s="607"/>
      <c r="S73" s="607"/>
      <c r="T73" s="605">
        <f>1754</f>
        <v>1754</v>
      </c>
      <c r="U73" s="607"/>
      <c r="V73" s="607"/>
      <c r="W73" s="605">
        <f t="shared" si="11"/>
        <v>1732.32</v>
      </c>
      <c r="X73" s="605">
        <f t="shared" si="12"/>
        <v>1732.32</v>
      </c>
      <c r="Y73" s="605">
        <f t="shared" si="12"/>
        <v>1732.32</v>
      </c>
      <c r="Z73" s="607"/>
      <c r="AA73" s="607"/>
      <c r="AB73" s="607"/>
      <c r="AC73" s="607"/>
      <c r="AJ73" s="482">
        <f t="shared" si="19"/>
        <v>-21.680000000000064</v>
      </c>
      <c r="AK73" s="482">
        <f t="shared" si="20"/>
        <v>1754</v>
      </c>
    </row>
    <row r="74" spans="1:37">
      <c r="A74" s="478">
        <v>92</v>
      </c>
      <c r="B74" s="478" t="str">
        <f>LEFT(TRIM(E74), 7)</f>
        <v>2392220</v>
      </c>
      <c r="C74" s="478">
        <v>2220</v>
      </c>
      <c r="D74" s="498" cm="1">
        <f t="array" ref="D74">INDEX('Form A Mapping'!C:C, MATCH(1, (C74 &gt;= 'Form A Mapping'!A:A) * (C74 &lt;= 'Form A Mapping'!B:B), 0))</f>
        <v>14</v>
      </c>
      <c r="E74" s="608" t="s">
        <v>498</v>
      </c>
      <c r="F74" s="605">
        <f>1031.82</f>
        <v>1031.82</v>
      </c>
      <c r="G74" s="607"/>
      <c r="H74" s="607"/>
      <c r="I74" s="607"/>
      <c r="J74" s="605">
        <f>4756</f>
        <v>4756</v>
      </c>
      <c r="K74" s="607"/>
      <c r="L74" s="607"/>
      <c r="M74" s="607"/>
      <c r="N74" s="607"/>
      <c r="O74" s="607"/>
      <c r="P74" s="607"/>
      <c r="Q74" s="607"/>
      <c r="R74" s="607"/>
      <c r="S74" s="607"/>
      <c r="T74" s="607"/>
      <c r="U74" s="607"/>
      <c r="V74" s="607"/>
      <c r="W74" s="605">
        <f t="shared" si="11"/>
        <v>5787.82</v>
      </c>
      <c r="X74" s="605">
        <f t="shared" si="12"/>
        <v>5787.82</v>
      </c>
      <c r="Y74" s="605">
        <f t="shared" si="12"/>
        <v>5787.82</v>
      </c>
      <c r="Z74" s="607"/>
      <c r="AA74" s="607"/>
      <c r="AB74" s="607"/>
      <c r="AC74" s="607"/>
      <c r="AJ74" s="482">
        <f t="shared" si="19"/>
        <v>1031.8199999999997</v>
      </c>
      <c r="AK74" s="482">
        <f t="shared" si="20"/>
        <v>4756</v>
      </c>
    </row>
    <row r="75" spans="1:37">
      <c r="A75" s="478">
        <v>92</v>
      </c>
      <c r="B75" s="478" t="str">
        <f>LEFT(TRIM(E75), 7)</f>
        <v>2392400</v>
      </c>
      <c r="C75" s="478">
        <v>2400</v>
      </c>
      <c r="D75" s="498" cm="1">
        <f t="array" ref="D75">INDEX('Form A Mapping'!C:C, MATCH(1, (C75 &gt;= 'Form A Mapping'!A:A) * (C75 &lt;= 'Form A Mapping'!B:B), 0))</f>
        <v>16</v>
      </c>
      <c r="E75" s="608" t="s">
        <v>499</v>
      </c>
      <c r="F75" s="605">
        <f>12100.79</f>
        <v>12100.79</v>
      </c>
      <c r="G75" s="607"/>
      <c r="H75" s="607"/>
      <c r="I75" s="607"/>
      <c r="J75" s="607"/>
      <c r="K75" s="607"/>
      <c r="L75" s="607"/>
      <c r="M75" s="607"/>
      <c r="N75" s="607"/>
      <c r="O75" s="607"/>
      <c r="P75" s="607"/>
      <c r="Q75" s="607"/>
      <c r="R75" s="607"/>
      <c r="S75" s="607"/>
      <c r="T75" s="605">
        <f>1417</f>
        <v>1417</v>
      </c>
      <c r="U75" s="607"/>
      <c r="V75" s="607"/>
      <c r="W75" s="605">
        <f t="shared" si="11"/>
        <v>13517.79</v>
      </c>
      <c r="X75" s="605">
        <f t="shared" si="12"/>
        <v>13517.79</v>
      </c>
      <c r="Y75" s="605">
        <f t="shared" si="12"/>
        <v>13517.79</v>
      </c>
      <c r="Z75" s="607"/>
      <c r="AA75" s="607"/>
      <c r="AB75" s="607"/>
      <c r="AC75" s="607"/>
      <c r="AJ75" s="482">
        <f t="shared" si="19"/>
        <v>12100.79</v>
      </c>
      <c r="AK75" s="482">
        <f t="shared" si="20"/>
        <v>1417</v>
      </c>
    </row>
    <row r="76" spans="1:37">
      <c r="E76" s="608" t="s">
        <v>500</v>
      </c>
      <c r="F76" s="606">
        <f t="shared" ref="F76:V76" si="22">((((F71)+(F72))+(F73))+(F74))+(F75)</f>
        <v>24265.23</v>
      </c>
      <c r="G76" s="606">
        <f t="shared" si="22"/>
        <v>0</v>
      </c>
      <c r="H76" s="606">
        <f t="shared" si="22"/>
        <v>0</v>
      </c>
      <c r="I76" s="606">
        <f t="shared" si="22"/>
        <v>0</v>
      </c>
      <c r="J76" s="606">
        <f t="shared" si="22"/>
        <v>4881</v>
      </c>
      <c r="K76" s="606">
        <f t="shared" si="22"/>
        <v>1547</v>
      </c>
      <c r="L76" s="606">
        <f t="shared" si="22"/>
        <v>0</v>
      </c>
      <c r="M76" s="606">
        <f t="shared" si="22"/>
        <v>0</v>
      </c>
      <c r="N76" s="606">
        <f t="shared" si="22"/>
        <v>0</v>
      </c>
      <c r="O76" s="606">
        <f t="shared" si="22"/>
        <v>0</v>
      </c>
      <c r="P76" s="606">
        <f t="shared" si="22"/>
        <v>0</v>
      </c>
      <c r="Q76" s="606">
        <f t="shared" si="22"/>
        <v>0</v>
      </c>
      <c r="R76" s="606">
        <f t="shared" si="22"/>
        <v>0</v>
      </c>
      <c r="S76" s="606">
        <f t="shared" si="22"/>
        <v>0</v>
      </c>
      <c r="T76" s="606">
        <f t="shared" si="22"/>
        <v>3171</v>
      </c>
      <c r="U76" s="606">
        <f t="shared" si="22"/>
        <v>0</v>
      </c>
      <c r="V76" s="606">
        <f t="shared" si="22"/>
        <v>0</v>
      </c>
      <c r="W76" s="606">
        <f t="shared" si="11"/>
        <v>33864.229999999996</v>
      </c>
      <c r="X76" s="606">
        <f t="shared" si="12"/>
        <v>33864.229999999996</v>
      </c>
      <c r="Y76" s="606">
        <f t="shared" si="12"/>
        <v>33864.229999999996</v>
      </c>
      <c r="Z76" s="607"/>
      <c r="AA76" s="607"/>
      <c r="AB76" s="607"/>
      <c r="AC76" s="607"/>
      <c r="AJ76" s="482">
        <f t="shared" si="19"/>
        <v>24265.229999999996</v>
      </c>
      <c r="AK76" s="482">
        <f t="shared" si="20"/>
        <v>9599</v>
      </c>
    </row>
    <row r="77" spans="1:37">
      <c r="A77" s="478">
        <v>93</v>
      </c>
      <c r="B77" s="478" t="str">
        <f t="shared" ref="B77:B85" si="23">LEFT(TRIM(E77), 7)</f>
        <v>2500000</v>
      </c>
      <c r="C77" s="478">
        <v>0</v>
      </c>
      <c r="D77" s="498" cm="1">
        <f t="array" ref="D77">INDEX('Form A Mapping'!C:C, MATCH(1, (C77 &gt;= 'Form A Mapping'!A:A) * (C77 &lt;= 'Form A Mapping'!B:B), 0))</f>
        <v>0</v>
      </c>
      <c r="E77" s="608" t="s">
        <v>501</v>
      </c>
      <c r="F77" s="607"/>
      <c r="G77" s="607"/>
      <c r="H77" s="607"/>
      <c r="I77" s="607"/>
      <c r="J77" s="607"/>
      <c r="K77" s="607"/>
      <c r="L77" s="607"/>
      <c r="M77" s="607"/>
      <c r="N77" s="607"/>
      <c r="O77" s="607"/>
      <c r="P77" s="607"/>
      <c r="Q77" s="607"/>
      <c r="R77" s="607"/>
      <c r="S77" s="607"/>
      <c r="T77" s="607"/>
      <c r="U77" s="607"/>
      <c r="V77" s="607"/>
      <c r="W77" s="605">
        <f t="shared" si="11"/>
        <v>0</v>
      </c>
      <c r="X77" s="605">
        <f t="shared" si="12"/>
        <v>0</v>
      </c>
      <c r="Y77" s="605">
        <f t="shared" si="12"/>
        <v>0</v>
      </c>
      <c r="Z77" s="607"/>
      <c r="AA77" s="607"/>
      <c r="AB77" s="607"/>
      <c r="AC77" s="607"/>
      <c r="AJ77" s="482">
        <f t="shared" si="19"/>
        <v>0</v>
      </c>
      <c r="AK77" s="482">
        <f t="shared" si="20"/>
        <v>0</v>
      </c>
    </row>
    <row r="78" spans="1:37">
      <c r="A78" s="478">
        <v>93</v>
      </c>
      <c r="B78" s="478" t="str">
        <f t="shared" si="23"/>
        <v>2501100</v>
      </c>
      <c r="C78" s="478">
        <v>1100</v>
      </c>
      <c r="D78" s="498" cm="1">
        <f t="array" ref="D78">INDEX('Form A Mapping'!C:C, MATCH(1, (C78 &gt;= 'Form A Mapping'!A:A) * (C78 &lt;= 'Form A Mapping'!B:B), 0))</f>
        <v>7</v>
      </c>
      <c r="E78" s="608" t="s">
        <v>502</v>
      </c>
      <c r="F78" s="605">
        <f>3824.23</f>
        <v>3824.23</v>
      </c>
      <c r="G78" s="607"/>
      <c r="H78" s="607"/>
      <c r="I78" s="607"/>
      <c r="J78" s="607"/>
      <c r="K78" s="607"/>
      <c r="L78" s="607"/>
      <c r="M78" s="607"/>
      <c r="N78" s="607"/>
      <c r="O78" s="607"/>
      <c r="P78" s="607"/>
      <c r="Q78" s="607"/>
      <c r="R78" s="607"/>
      <c r="S78" s="607"/>
      <c r="T78" s="607"/>
      <c r="U78" s="607"/>
      <c r="V78" s="607"/>
      <c r="W78" s="605">
        <f t="shared" si="11"/>
        <v>3824.23</v>
      </c>
      <c r="X78" s="605">
        <f t="shared" si="12"/>
        <v>3824.23</v>
      </c>
      <c r="Y78" s="605">
        <f t="shared" si="12"/>
        <v>3824.23</v>
      </c>
      <c r="Z78" s="607"/>
      <c r="AA78" s="607"/>
      <c r="AB78" s="607"/>
      <c r="AC78" s="607"/>
      <c r="AJ78" s="482">
        <f t="shared" si="19"/>
        <v>3824.23</v>
      </c>
      <c r="AK78" s="482">
        <f t="shared" si="20"/>
        <v>0</v>
      </c>
    </row>
    <row r="79" spans="1:37">
      <c r="A79" s="478">
        <v>93</v>
      </c>
      <c r="B79" s="478" t="str">
        <f t="shared" si="23"/>
        <v>2501210</v>
      </c>
      <c r="C79" s="478">
        <v>1210</v>
      </c>
      <c r="D79" s="498" cm="1">
        <f t="array" ref="D79">INDEX('Form A Mapping'!C:C, MATCH(1, (C79 &gt;= 'Form A Mapping'!A:A) * (C79 &lt;= 'Form A Mapping'!B:B), 0))</f>
        <v>8</v>
      </c>
      <c r="E79" s="608" t="s">
        <v>503</v>
      </c>
      <c r="F79" s="605">
        <f>563.67</f>
        <v>563.66999999999996</v>
      </c>
      <c r="G79" s="607"/>
      <c r="H79" s="607"/>
      <c r="I79" s="607"/>
      <c r="J79" s="607"/>
      <c r="K79" s="607"/>
      <c r="L79" s="607"/>
      <c r="M79" s="607"/>
      <c r="N79" s="607"/>
      <c r="O79" s="607"/>
      <c r="P79" s="607"/>
      <c r="Q79" s="607"/>
      <c r="R79" s="607"/>
      <c r="S79" s="607"/>
      <c r="T79" s="607"/>
      <c r="U79" s="607"/>
      <c r="V79" s="607"/>
      <c r="W79" s="605">
        <f t="shared" si="11"/>
        <v>563.66999999999996</v>
      </c>
      <c r="X79" s="605">
        <f t="shared" si="12"/>
        <v>563.66999999999996</v>
      </c>
      <c r="Y79" s="605">
        <f t="shared" si="12"/>
        <v>563.66999999999996</v>
      </c>
      <c r="Z79" s="607"/>
      <c r="AA79" s="607"/>
      <c r="AB79" s="607"/>
      <c r="AC79" s="607"/>
      <c r="AJ79" s="482">
        <f t="shared" si="19"/>
        <v>563.66999999999996</v>
      </c>
      <c r="AK79" s="482">
        <f t="shared" si="20"/>
        <v>0</v>
      </c>
    </row>
    <row r="80" spans="1:37">
      <c r="A80" s="478">
        <v>93</v>
      </c>
      <c r="B80" s="478" t="str">
        <f t="shared" si="23"/>
        <v>2502120</v>
      </c>
      <c r="C80" s="478">
        <v>2120</v>
      </c>
      <c r="D80" s="498" cm="1">
        <f t="array" ref="D80">INDEX('Form A Mapping'!C:C, MATCH(1, (C80 &gt;= 'Form A Mapping'!A:A) * (C80 &lt;= 'Form A Mapping'!B:B), 0))</f>
        <v>13</v>
      </c>
      <c r="E80" s="608" t="s">
        <v>504</v>
      </c>
      <c r="F80" s="605">
        <f>187.89</f>
        <v>187.89</v>
      </c>
      <c r="G80" s="607"/>
      <c r="H80" s="607"/>
      <c r="I80" s="607"/>
      <c r="J80" s="607"/>
      <c r="K80" s="607"/>
      <c r="L80" s="607"/>
      <c r="M80" s="607"/>
      <c r="N80" s="607"/>
      <c r="O80" s="607"/>
      <c r="P80" s="607"/>
      <c r="Q80" s="607"/>
      <c r="R80" s="607"/>
      <c r="S80" s="607"/>
      <c r="T80" s="607"/>
      <c r="U80" s="607"/>
      <c r="V80" s="607"/>
      <c r="W80" s="605">
        <f t="shared" si="11"/>
        <v>187.89</v>
      </c>
      <c r="X80" s="605">
        <f t="shared" si="12"/>
        <v>187.89</v>
      </c>
      <c r="Y80" s="605">
        <f t="shared" si="12"/>
        <v>187.89</v>
      </c>
      <c r="Z80" s="607"/>
      <c r="AA80" s="607"/>
      <c r="AB80" s="607"/>
      <c r="AC80" s="607"/>
      <c r="AJ80" s="482">
        <f t="shared" si="19"/>
        <v>187.89</v>
      </c>
      <c r="AK80" s="482">
        <f t="shared" si="20"/>
        <v>0</v>
      </c>
    </row>
    <row r="81" spans="1:37">
      <c r="A81" s="478">
        <v>93</v>
      </c>
      <c r="B81" s="478" t="str">
        <f t="shared" si="23"/>
        <v>2502150</v>
      </c>
      <c r="C81" s="478">
        <v>2150</v>
      </c>
      <c r="D81" s="498" cm="1">
        <f t="array" ref="D81">INDEX('Form A Mapping'!C:C, MATCH(1, (C81 &gt;= 'Form A Mapping'!A:A) * (C81 &lt;= 'Form A Mapping'!B:B), 0))</f>
        <v>13</v>
      </c>
      <c r="E81" s="608" t="s">
        <v>734</v>
      </c>
      <c r="F81" s="605">
        <f>187.87</f>
        <v>187.87</v>
      </c>
      <c r="G81" s="607"/>
      <c r="H81" s="607"/>
      <c r="I81" s="607"/>
      <c r="J81" s="607"/>
      <c r="K81" s="607"/>
      <c r="L81" s="607"/>
      <c r="M81" s="607"/>
      <c r="N81" s="607"/>
      <c r="O81" s="607"/>
      <c r="P81" s="607"/>
      <c r="Q81" s="607"/>
      <c r="R81" s="607"/>
      <c r="S81" s="607"/>
      <c r="T81" s="607"/>
      <c r="U81" s="607"/>
      <c r="V81" s="607"/>
      <c r="W81" s="605">
        <f t="shared" si="11"/>
        <v>187.87</v>
      </c>
      <c r="X81" s="605">
        <f t="shared" si="12"/>
        <v>187.87</v>
      </c>
      <c r="Y81" s="605">
        <f t="shared" si="12"/>
        <v>187.87</v>
      </c>
      <c r="Z81" s="607"/>
      <c r="AA81" s="607"/>
      <c r="AB81" s="607"/>
      <c r="AC81" s="607"/>
      <c r="AJ81" s="482">
        <f t="shared" si="19"/>
        <v>187.87</v>
      </c>
      <c r="AK81" s="482">
        <f t="shared" si="20"/>
        <v>0</v>
      </c>
    </row>
    <row r="82" spans="1:37">
      <c r="A82" s="478">
        <v>93</v>
      </c>
      <c r="B82" s="478" t="str">
        <f t="shared" si="23"/>
        <v>2502190</v>
      </c>
      <c r="C82" s="478">
        <v>2190</v>
      </c>
      <c r="D82" s="498" cm="1">
        <f t="array" ref="D82">INDEX('Form A Mapping'!C:C, MATCH(1, (C82 &gt;= 'Form A Mapping'!A:A) * (C82 &lt;= 'Form A Mapping'!B:B), 0))</f>
        <v>13</v>
      </c>
      <c r="E82" s="608" t="s">
        <v>505</v>
      </c>
      <c r="F82" s="605">
        <f>62.62</f>
        <v>62.62</v>
      </c>
      <c r="G82" s="607"/>
      <c r="H82" s="607"/>
      <c r="I82" s="607"/>
      <c r="J82" s="607"/>
      <c r="K82" s="607"/>
      <c r="L82" s="607"/>
      <c r="M82" s="607"/>
      <c r="N82" s="607"/>
      <c r="O82" s="607"/>
      <c r="P82" s="607"/>
      <c r="Q82" s="607"/>
      <c r="R82" s="607"/>
      <c r="S82" s="607"/>
      <c r="T82" s="607"/>
      <c r="U82" s="607"/>
      <c r="V82" s="607"/>
      <c r="W82" s="605">
        <f t="shared" si="11"/>
        <v>62.62</v>
      </c>
      <c r="X82" s="605">
        <f t="shared" si="12"/>
        <v>62.62</v>
      </c>
      <c r="Y82" s="605">
        <f t="shared" si="12"/>
        <v>62.62</v>
      </c>
      <c r="Z82" s="607"/>
      <c r="AA82" s="607"/>
      <c r="AB82" s="607"/>
      <c r="AC82" s="607"/>
      <c r="AJ82" s="482">
        <f t="shared" si="19"/>
        <v>62.62</v>
      </c>
      <c r="AK82" s="482">
        <f t="shared" si="20"/>
        <v>0</v>
      </c>
    </row>
    <row r="83" spans="1:37">
      <c r="A83" s="478">
        <v>93</v>
      </c>
      <c r="B83" s="478" t="str">
        <f t="shared" si="23"/>
        <v>2502220</v>
      </c>
      <c r="C83" s="478">
        <v>2220</v>
      </c>
      <c r="D83" s="498" cm="1">
        <f t="array" ref="D83">INDEX('Form A Mapping'!C:C, MATCH(1, (C83 &gt;= 'Form A Mapping'!A:A) * (C83 &lt;= 'Form A Mapping'!B:B), 0))</f>
        <v>14</v>
      </c>
      <c r="E83" s="608" t="s">
        <v>506</v>
      </c>
      <c r="F83" s="605">
        <f>501.04</f>
        <v>501.04</v>
      </c>
      <c r="G83" s="607"/>
      <c r="H83" s="607"/>
      <c r="I83" s="607"/>
      <c r="J83" s="607"/>
      <c r="K83" s="607"/>
      <c r="L83" s="607"/>
      <c r="M83" s="607"/>
      <c r="N83" s="607"/>
      <c r="O83" s="607"/>
      <c r="P83" s="607"/>
      <c r="Q83" s="607"/>
      <c r="R83" s="607"/>
      <c r="S83" s="607"/>
      <c r="T83" s="607"/>
      <c r="U83" s="607"/>
      <c r="V83" s="607"/>
      <c r="W83" s="605">
        <f t="shared" si="11"/>
        <v>501.04</v>
      </c>
      <c r="X83" s="605">
        <f t="shared" si="12"/>
        <v>501.04</v>
      </c>
      <c r="Y83" s="605">
        <f t="shared" si="12"/>
        <v>501.04</v>
      </c>
      <c r="Z83" s="607"/>
      <c r="AA83" s="607"/>
      <c r="AB83" s="607"/>
      <c r="AC83" s="607"/>
      <c r="AJ83" s="482">
        <f t="shared" si="19"/>
        <v>501.04</v>
      </c>
      <c r="AK83" s="482">
        <f t="shared" si="20"/>
        <v>0</v>
      </c>
    </row>
    <row r="84" spans="1:37">
      <c r="A84" s="478">
        <v>93</v>
      </c>
      <c r="B84" s="478" t="str">
        <f t="shared" si="23"/>
        <v>2502400</v>
      </c>
      <c r="C84" s="478">
        <v>2400</v>
      </c>
      <c r="D84" s="498" cm="1">
        <f t="array" ref="D84">INDEX('Form A Mapping'!C:C, MATCH(1, (C84 &gt;= 'Form A Mapping'!A:A) * (C84 &lt;= 'Form A Mapping'!B:B), 0))</f>
        <v>16</v>
      </c>
      <c r="E84" s="608" t="s">
        <v>507</v>
      </c>
      <c r="F84" s="605">
        <f>1024.78</f>
        <v>1024.78</v>
      </c>
      <c r="G84" s="607"/>
      <c r="H84" s="607"/>
      <c r="I84" s="607"/>
      <c r="J84" s="607"/>
      <c r="K84" s="607"/>
      <c r="L84" s="607"/>
      <c r="M84" s="607"/>
      <c r="N84" s="607"/>
      <c r="O84" s="607"/>
      <c r="P84" s="607"/>
      <c r="Q84" s="607"/>
      <c r="R84" s="607"/>
      <c r="S84" s="607"/>
      <c r="T84" s="607"/>
      <c r="U84" s="607"/>
      <c r="V84" s="607"/>
      <c r="W84" s="605">
        <f t="shared" si="11"/>
        <v>1024.78</v>
      </c>
      <c r="X84" s="605">
        <f t="shared" si="12"/>
        <v>1024.78</v>
      </c>
      <c r="Y84" s="605">
        <f t="shared" si="12"/>
        <v>1024.78</v>
      </c>
      <c r="Z84" s="607"/>
      <c r="AA84" s="607"/>
      <c r="AB84" s="607"/>
      <c r="AC84" s="607"/>
      <c r="AJ84" s="482">
        <f t="shared" si="19"/>
        <v>1024.78</v>
      </c>
      <c r="AK84" s="482">
        <f t="shared" si="20"/>
        <v>0</v>
      </c>
    </row>
    <row r="85" spans="1:37">
      <c r="A85" s="478">
        <v>93</v>
      </c>
      <c r="B85" s="478" t="str">
        <f t="shared" si="23"/>
        <v>2502690</v>
      </c>
      <c r="C85" s="478">
        <v>2690</v>
      </c>
      <c r="D85" s="498" cm="1">
        <f t="array" ref="D85">INDEX('Form A Mapping'!C:C, MATCH(1, (C85 &gt;= 'Form A Mapping'!A:A) * (C85 &lt;= 'Form A Mapping'!B:B), 0))</f>
        <v>18</v>
      </c>
      <c r="E85" s="608" t="s">
        <v>508</v>
      </c>
      <c r="F85" s="605">
        <f>375.75</f>
        <v>375.75</v>
      </c>
      <c r="G85" s="607"/>
      <c r="H85" s="607"/>
      <c r="I85" s="607"/>
      <c r="J85" s="607"/>
      <c r="K85" s="607"/>
      <c r="L85" s="607"/>
      <c r="M85" s="607"/>
      <c r="N85" s="607"/>
      <c r="O85" s="607"/>
      <c r="P85" s="607"/>
      <c r="Q85" s="607"/>
      <c r="R85" s="607"/>
      <c r="S85" s="607"/>
      <c r="T85" s="607"/>
      <c r="U85" s="607"/>
      <c r="V85" s="607"/>
      <c r="W85" s="605">
        <f t="shared" si="11"/>
        <v>375.75</v>
      </c>
      <c r="X85" s="605">
        <f t="shared" si="12"/>
        <v>375.75</v>
      </c>
      <c r="Y85" s="605">
        <f t="shared" si="12"/>
        <v>375.75</v>
      </c>
      <c r="Z85" s="607"/>
      <c r="AA85" s="607"/>
      <c r="AB85" s="607"/>
      <c r="AC85" s="607"/>
      <c r="AJ85" s="482">
        <f t="shared" si="19"/>
        <v>375.75</v>
      </c>
      <c r="AK85" s="482">
        <f t="shared" si="20"/>
        <v>0</v>
      </c>
    </row>
    <row r="86" spans="1:37">
      <c r="E86" s="608" t="s">
        <v>509</v>
      </c>
      <c r="F86" s="606">
        <f t="shared" ref="F86:V86" si="24">((((((((F77)+(F78))+(F79))+(F80))+(F81))+(F82))+(F83))+(F84))+(F85)</f>
        <v>6727.8499999999995</v>
      </c>
      <c r="G86" s="606">
        <f t="shared" si="24"/>
        <v>0</v>
      </c>
      <c r="H86" s="606">
        <f t="shared" si="24"/>
        <v>0</v>
      </c>
      <c r="I86" s="606">
        <f t="shared" si="24"/>
        <v>0</v>
      </c>
      <c r="J86" s="606">
        <f t="shared" si="24"/>
        <v>0</v>
      </c>
      <c r="K86" s="606">
        <f t="shared" si="24"/>
        <v>0</v>
      </c>
      <c r="L86" s="606">
        <f t="shared" si="24"/>
        <v>0</v>
      </c>
      <c r="M86" s="606">
        <f t="shared" si="24"/>
        <v>0</v>
      </c>
      <c r="N86" s="606">
        <f t="shared" si="24"/>
        <v>0</v>
      </c>
      <c r="O86" s="606">
        <f t="shared" si="24"/>
        <v>0</v>
      </c>
      <c r="P86" s="606">
        <f t="shared" si="24"/>
        <v>0</v>
      </c>
      <c r="Q86" s="606">
        <f t="shared" si="24"/>
        <v>0</v>
      </c>
      <c r="R86" s="606">
        <f t="shared" si="24"/>
        <v>0</v>
      </c>
      <c r="S86" s="606">
        <f t="shared" si="24"/>
        <v>0</v>
      </c>
      <c r="T86" s="606">
        <f t="shared" si="24"/>
        <v>0</v>
      </c>
      <c r="U86" s="606">
        <f t="shared" si="24"/>
        <v>0</v>
      </c>
      <c r="V86" s="606">
        <f t="shared" si="24"/>
        <v>0</v>
      </c>
      <c r="W86" s="606">
        <f t="shared" si="11"/>
        <v>6727.8499999999995</v>
      </c>
      <c r="X86" s="606">
        <f t="shared" si="12"/>
        <v>6727.8499999999995</v>
      </c>
      <c r="Y86" s="606">
        <f t="shared" si="12"/>
        <v>6727.8499999999995</v>
      </c>
      <c r="Z86" s="607"/>
      <c r="AA86" s="607"/>
      <c r="AB86" s="607"/>
      <c r="AC86" s="607"/>
      <c r="AJ86" s="482">
        <f t="shared" si="19"/>
        <v>6727.8499999999995</v>
      </c>
      <c r="AK86" s="482">
        <f t="shared" si="20"/>
        <v>0</v>
      </c>
    </row>
    <row r="87" spans="1:37">
      <c r="A87" s="478">
        <v>95</v>
      </c>
      <c r="B87" s="478" t="str">
        <f>LEFT(TRIM(E87), 7)</f>
        <v>2600000</v>
      </c>
      <c r="C87" s="478">
        <v>0</v>
      </c>
      <c r="D87" s="498" cm="1">
        <f t="array" ref="D87">INDEX('Form A Mapping'!C:C, MATCH(1, (C87 &gt;= 'Form A Mapping'!A:A) * (C87 &lt;= 'Form A Mapping'!B:B), 0))</f>
        <v>0</v>
      </c>
      <c r="E87" s="608" t="s">
        <v>272</v>
      </c>
      <c r="F87" s="607"/>
      <c r="G87" s="607"/>
      <c r="H87" s="607"/>
      <c r="I87" s="607"/>
      <c r="J87" s="607"/>
      <c r="K87" s="607"/>
      <c r="L87" s="607"/>
      <c r="M87" s="607"/>
      <c r="N87" s="607"/>
      <c r="O87" s="607"/>
      <c r="P87" s="607"/>
      <c r="Q87" s="607"/>
      <c r="R87" s="607"/>
      <c r="S87" s="607"/>
      <c r="T87" s="607"/>
      <c r="U87" s="607"/>
      <c r="V87" s="607"/>
      <c r="W87" s="605">
        <f t="shared" si="11"/>
        <v>0</v>
      </c>
      <c r="X87" s="605">
        <f t="shared" si="12"/>
        <v>0</v>
      </c>
      <c r="Y87" s="605">
        <f t="shared" si="12"/>
        <v>0</v>
      </c>
      <c r="Z87" s="607"/>
      <c r="AA87" s="607"/>
      <c r="AB87" s="607"/>
      <c r="AC87" s="607"/>
      <c r="AJ87" s="482">
        <f t="shared" si="19"/>
        <v>0</v>
      </c>
      <c r="AK87" s="482">
        <f t="shared" si="20"/>
        <v>0</v>
      </c>
    </row>
    <row r="88" spans="1:37">
      <c r="A88" s="478">
        <v>95</v>
      </c>
      <c r="B88" s="478" t="str">
        <f>LEFT(TRIM(E88), 7)</f>
        <v>2601100</v>
      </c>
      <c r="C88" s="478">
        <v>1100</v>
      </c>
      <c r="D88" s="498" cm="1">
        <f t="array" ref="D88">INDEX('Form A Mapping'!C:C, MATCH(1, (C88 &gt;= 'Form A Mapping'!A:A) * (C88 &lt;= 'Form A Mapping'!B:B), 0))</f>
        <v>7</v>
      </c>
      <c r="E88" s="608" t="s">
        <v>510</v>
      </c>
      <c r="F88" s="605">
        <f>8568.8</f>
        <v>8568.7999999999993</v>
      </c>
      <c r="G88" s="607"/>
      <c r="H88" s="607"/>
      <c r="I88" s="607"/>
      <c r="J88" s="607"/>
      <c r="K88" s="607"/>
      <c r="L88" s="607"/>
      <c r="M88" s="607"/>
      <c r="N88" s="607"/>
      <c r="O88" s="607"/>
      <c r="P88" s="607"/>
      <c r="Q88" s="607"/>
      <c r="R88" s="607"/>
      <c r="S88" s="607"/>
      <c r="T88" s="607"/>
      <c r="U88" s="607"/>
      <c r="V88" s="607"/>
      <c r="W88" s="605">
        <f t="shared" si="11"/>
        <v>8568.7999999999993</v>
      </c>
      <c r="X88" s="605">
        <f t="shared" si="12"/>
        <v>8568.7999999999993</v>
      </c>
      <c r="Y88" s="605">
        <f t="shared" si="12"/>
        <v>8568.7999999999993</v>
      </c>
      <c r="Z88" s="607"/>
      <c r="AA88" s="607"/>
      <c r="AB88" s="607"/>
      <c r="AC88" s="607"/>
      <c r="AJ88" s="482">
        <f t="shared" si="19"/>
        <v>8568.7999999999993</v>
      </c>
      <c r="AK88" s="482">
        <f t="shared" si="20"/>
        <v>0</v>
      </c>
    </row>
    <row r="89" spans="1:37">
      <c r="E89" s="608" t="s">
        <v>511</v>
      </c>
      <c r="F89" s="606">
        <f t="shared" ref="F89:V89" si="25">(F87)+(F88)</f>
        <v>8568.7999999999993</v>
      </c>
      <c r="G89" s="606">
        <f t="shared" si="25"/>
        <v>0</v>
      </c>
      <c r="H89" s="606">
        <f t="shared" si="25"/>
        <v>0</v>
      </c>
      <c r="I89" s="606">
        <f t="shared" si="25"/>
        <v>0</v>
      </c>
      <c r="J89" s="606">
        <f t="shared" si="25"/>
        <v>0</v>
      </c>
      <c r="K89" s="606">
        <f t="shared" si="25"/>
        <v>0</v>
      </c>
      <c r="L89" s="606">
        <f t="shared" si="25"/>
        <v>0</v>
      </c>
      <c r="M89" s="606">
        <f t="shared" si="25"/>
        <v>0</v>
      </c>
      <c r="N89" s="606">
        <f t="shared" si="25"/>
        <v>0</v>
      </c>
      <c r="O89" s="606">
        <f t="shared" si="25"/>
        <v>0</v>
      </c>
      <c r="P89" s="606">
        <f t="shared" si="25"/>
        <v>0</v>
      </c>
      <c r="Q89" s="606">
        <f t="shared" si="25"/>
        <v>0</v>
      </c>
      <c r="R89" s="606">
        <f t="shared" si="25"/>
        <v>0</v>
      </c>
      <c r="S89" s="606">
        <f t="shared" si="25"/>
        <v>0</v>
      </c>
      <c r="T89" s="606">
        <f t="shared" si="25"/>
        <v>0</v>
      </c>
      <c r="U89" s="606">
        <f t="shared" si="25"/>
        <v>0</v>
      </c>
      <c r="V89" s="606">
        <f t="shared" si="25"/>
        <v>0</v>
      </c>
      <c r="W89" s="606">
        <f t="shared" si="11"/>
        <v>8568.7999999999993</v>
      </c>
      <c r="X89" s="606">
        <f t="shared" si="12"/>
        <v>8568.7999999999993</v>
      </c>
      <c r="Y89" s="606">
        <f t="shared" si="12"/>
        <v>8568.7999999999993</v>
      </c>
      <c r="Z89" s="607"/>
      <c r="AA89" s="607"/>
      <c r="AB89" s="607"/>
      <c r="AC89" s="607"/>
      <c r="AJ89" s="482">
        <f t="shared" si="19"/>
        <v>8568.7999999999993</v>
      </c>
      <c r="AK89" s="482">
        <f t="shared" si="20"/>
        <v>0</v>
      </c>
    </row>
    <row r="90" spans="1:37">
      <c r="A90" s="478">
        <v>95</v>
      </c>
      <c r="B90" s="478" t="str">
        <f>LEFT(TRIM(E90), 7)</f>
        <v>2900000</v>
      </c>
      <c r="C90" s="478">
        <v>0</v>
      </c>
      <c r="D90" s="498" cm="1">
        <f t="array" ref="D90">INDEX('Form A Mapping'!C:C, MATCH(1, (C90 &gt;= 'Form A Mapping'!A:A) * (C90 &lt;= 'Form A Mapping'!B:B), 0))</f>
        <v>0</v>
      </c>
      <c r="E90" s="608" t="s">
        <v>512</v>
      </c>
      <c r="F90" s="607"/>
      <c r="G90" s="607"/>
      <c r="H90" s="607"/>
      <c r="I90" s="607"/>
      <c r="J90" s="607"/>
      <c r="K90" s="607"/>
      <c r="L90" s="607"/>
      <c r="M90" s="607"/>
      <c r="N90" s="607"/>
      <c r="O90" s="607"/>
      <c r="P90" s="607"/>
      <c r="Q90" s="607"/>
      <c r="R90" s="607"/>
      <c r="S90" s="607"/>
      <c r="T90" s="607"/>
      <c r="U90" s="607"/>
      <c r="V90" s="607"/>
      <c r="W90" s="605">
        <f t="shared" si="11"/>
        <v>0</v>
      </c>
      <c r="X90" s="605">
        <f t="shared" si="12"/>
        <v>0</v>
      </c>
      <c r="Y90" s="605">
        <f t="shared" si="12"/>
        <v>0</v>
      </c>
      <c r="Z90" s="607"/>
      <c r="AA90" s="607"/>
      <c r="AB90" s="607"/>
      <c r="AC90" s="607"/>
      <c r="AJ90" s="482">
        <f t="shared" si="19"/>
        <v>0</v>
      </c>
      <c r="AK90" s="482">
        <f t="shared" si="20"/>
        <v>0</v>
      </c>
    </row>
    <row r="91" spans="1:37">
      <c r="A91" s="478">
        <v>95</v>
      </c>
      <c r="B91" s="478" t="str">
        <f>LEFT(TRIM(E91), 7)</f>
        <v>2901100</v>
      </c>
      <c r="C91" s="478">
        <v>1100</v>
      </c>
      <c r="D91" s="498" cm="1">
        <f t="array" ref="D91">INDEX('Form A Mapping'!C:C, MATCH(1, (C91 &gt;= 'Form A Mapping'!A:A) * (C91 &lt;= 'Form A Mapping'!B:B), 0))</f>
        <v>7</v>
      </c>
      <c r="E91" s="608" t="s">
        <v>513</v>
      </c>
      <c r="F91" s="605">
        <f>1524.53</f>
        <v>1524.53</v>
      </c>
      <c r="G91" s="607"/>
      <c r="H91" s="607"/>
      <c r="I91" s="607"/>
      <c r="J91" s="607"/>
      <c r="K91" s="607"/>
      <c r="L91" s="607"/>
      <c r="M91" s="607"/>
      <c r="N91" s="607"/>
      <c r="O91" s="607"/>
      <c r="P91" s="607"/>
      <c r="Q91" s="607"/>
      <c r="R91" s="607"/>
      <c r="S91" s="607"/>
      <c r="T91" s="607"/>
      <c r="U91" s="607"/>
      <c r="V91" s="607"/>
      <c r="W91" s="605">
        <f t="shared" ref="W91:W153" si="26">((((((((((((((((F91)+(G91))+(H91))+(I91))+(J91))+(K91))+(L91))+(M91))+(N91))+(O91))+(P91))+(Q91))+(R91))+(S91))+(T91))+(U91))+(V91)</f>
        <v>1524.53</v>
      </c>
      <c r="X91" s="605">
        <f t="shared" ref="X91:Y153" si="27">W91</f>
        <v>1524.53</v>
      </c>
      <c r="Y91" s="605">
        <f t="shared" si="27"/>
        <v>1524.53</v>
      </c>
      <c r="Z91" s="607"/>
      <c r="AA91" s="607"/>
      <c r="AB91" s="607"/>
      <c r="AC91" s="607"/>
      <c r="AJ91" s="482">
        <f t="shared" si="19"/>
        <v>1524.53</v>
      </c>
      <c r="AK91" s="482">
        <f t="shared" si="20"/>
        <v>0</v>
      </c>
    </row>
    <row r="92" spans="1:37">
      <c r="E92" s="608" t="s">
        <v>514</v>
      </c>
      <c r="F92" s="606">
        <f t="shared" ref="F92:V92" si="28">(F90)+(F91)</f>
        <v>1524.53</v>
      </c>
      <c r="G92" s="606">
        <f t="shared" si="28"/>
        <v>0</v>
      </c>
      <c r="H92" s="606">
        <f t="shared" si="28"/>
        <v>0</v>
      </c>
      <c r="I92" s="606">
        <f t="shared" si="28"/>
        <v>0</v>
      </c>
      <c r="J92" s="606">
        <f t="shared" si="28"/>
        <v>0</v>
      </c>
      <c r="K92" s="606">
        <f t="shared" si="28"/>
        <v>0</v>
      </c>
      <c r="L92" s="606">
        <f t="shared" si="28"/>
        <v>0</v>
      </c>
      <c r="M92" s="606">
        <f t="shared" si="28"/>
        <v>0</v>
      </c>
      <c r="N92" s="606">
        <f t="shared" si="28"/>
        <v>0</v>
      </c>
      <c r="O92" s="606">
        <f t="shared" si="28"/>
        <v>0</v>
      </c>
      <c r="P92" s="606">
        <f t="shared" si="28"/>
        <v>0</v>
      </c>
      <c r="Q92" s="606">
        <f t="shared" si="28"/>
        <v>0</v>
      </c>
      <c r="R92" s="606">
        <f t="shared" si="28"/>
        <v>0</v>
      </c>
      <c r="S92" s="606">
        <f t="shared" si="28"/>
        <v>0</v>
      </c>
      <c r="T92" s="606">
        <f t="shared" si="28"/>
        <v>0</v>
      </c>
      <c r="U92" s="606">
        <f t="shared" si="28"/>
        <v>0</v>
      </c>
      <c r="V92" s="606">
        <f t="shared" si="28"/>
        <v>0</v>
      </c>
      <c r="W92" s="606">
        <f t="shared" si="26"/>
        <v>1524.53</v>
      </c>
      <c r="X92" s="606">
        <f t="shared" si="27"/>
        <v>1524.53</v>
      </c>
      <c r="Y92" s="606">
        <f t="shared" si="27"/>
        <v>1524.53</v>
      </c>
      <c r="Z92" s="607"/>
      <c r="AA92" s="607"/>
      <c r="AB92" s="607"/>
      <c r="AC92" s="607"/>
      <c r="AJ92" s="482">
        <f t="shared" si="19"/>
        <v>1524.53</v>
      </c>
      <c r="AK92" s="482">
        <f t="shared" si="20"/>
        <v>0</v>
      </c>
    </row>
    <row r="93" spans="1:37">
      <c r="E93" s="608" t="s">
        <v>515</v>
      </c>
      <c r="F93" s="606">
        <f t="shared" ref="F93:V93" si="29">(((((((F41)+(F50))+(F60))+(F70))+(F76))+(F86))+(F89))+(F92)</f>
        <v>223281.87</v>
      </c>
      <c r="G93" s="606">
        <f t="shared" si="29"/>
        <v>0</v>
      </c>
      <c r="H93" s="606">
        <f t="shared" si="29"/>
        <v>0</v>
      </c>
      <c r="I93" s="606">
        <f t="shared" si="29"/>
        <v>0</v>
      </c>
      <c r="J93" s="606">
        <f t="shared" si="29"/>
        <v>43694</v>
      </c>
      <c r="K93" s="606">
        <f t="shared" si="29"/>
        <v>90627</v>
      </c>
      <c r="L93" s="606">
        <f t="shared" si="29"/>
        <v>0</v>
      </c>
      <c r="M93" s="606">
        <f t="shared" si="29"/>
        <v>0</v>
      </c>
      <c r="N93" s="606">
        <f t="shared" si="29"/>
        <v>0</v>
      </c>
      <c r="O93" s="606">
        <f t="shared" si="29"/>
        <v>0</v>
      </c>
      <c r="P93" s="606">
        <f t="shared" si="29"/>
        <v>0</v>
      </c>
      <c r="Q93" s="606">
        <f t="shared" si="29"/>
        <v>0</v>
      </c>
      <c r="R93" s="606">
        <f t="shared" si="29"/>
        <v>0</v>
      </c>
      <c r="S93" s="606">
        <f t="shared" si="29"/>
        <v>0</v>
      </c>
      <c r="T93" s="606">
        <f t="shared" si="29"/>
        <v>19472</v>
      </c>
      <c r="U93" s="606">
        <f t="shared" si="29"/>
        <v>0</v>
      </c>
      <c r="V93" s="606">
        <f t="shared" si="29"/>
        <v>0</v>
      </c>
      <c r="W93" s="606">
        <f t="shared" si="26"/>
        <v>377074.87</v>
      </c>
      <c r="X93" s="606">
        <f t="shared" si="27"/>
        <v>377074.87</v>
      </c>
      <c r="Y93" s="606">
        <f t="shared" si="27"/>
        <v>377074.87</v>
      </c>
      <c r="Z93" s="607"/>
      <c r="AA93" s="607"/>
      <c r="AB93" s="607"/>
      <c r="AC93" s="607"/>
      <c r="AJ93" s="482">
        <f t="shared" si="19"/>
        <v>223281.87</v>
      </c>
      <c r="AK93" s="482">
        <f t="shared" si="20"/>
        <v>153793</v>
      </c>
    </row>
    <row r="94" spans="1:37">
      <c r="A94" s="478">
        <v>101</v>
      </c>
      <c r="B94" s="478" t="str">
        <f t="shared" ref="B94:B108" si="30">LEFT(TRIM(E94), 7)</f>
        <v>3000000</v>
      </c>
      <c r="C94" s="478">
        <v>0</v>
      </c>
      <c r="D94" s="498" cm="1">
        <f t="array" ref="D94">INDEX('Form A Mapping'!C:C, MATCH(1, (C94 &gt;= 'Form A Mapping'!A:A) * (C94 &lt;= 'Form A Mapping'!B:B), 0))</f>
        <v>0</v>
      </c>
      <c r="E94" s="608" t="s">
        <v>516</v>
      </c>
      <c r="F94" s="607"/>
      <c r="G94" s="607"/>
      <c r="H94" s="607"/>
      <c r="I94" s="607"/>
      <c r="J94" s="607"/>
      <c r="K94" s="607"/>
      <c r="L94" s="607"/>
      <c r="M94" s="607"/>
      <c r="N94" s="607"/>
      <c r="O94" s="607"/>
      <c r="P94" s="607"/>
      <c r="Q94" s="607"/>
      <c r="R94" s="607"/>
      <c r="S94" s="607"/>
      <c r="T94" s="607"/>
      <c r="U94" s="607"/>
      <c r="V94" s="607"/>
      <c r="W94" s="605">
        <f t="shared" si="26"/>
        <v>0</v>
      </c>
      <c r="X94" s="605">
        <f t="shared" si="27"/>
        <v>0</v>
      </c>
      <c r="Y94" s="605">
        <f t="shared" si="27"/>
        <v>0</v>
      </c>
      <c r="Z94" s="607"/>
      <c r="AA94" s="607"/>
      <c r="AB94" s="607"/>
      <c r="AC94" s="607"/>
      <c r="AJ94" s="482">
        <f t="shared" si="19"/>
        <v>0</v>
      </c>
      <c r="AK94" s="482">
        <f t="shared" si="20"/>
        <v>0</v>
      </c>
    </row>
    <row r="95" spans="1:37">
      <c r="A95" s="478">
        <v>101</v>
      </c>
      <c r="B95" s="478" t="str">
        <f t="shared" si="30"/>
        <v>3001210</v>
      </c>
      <c r="C95" s="478">
        <v>1210</v>
      </c>
      <c r="D95" s="498" cm="1">
        <f t="array" ref="D95">INDEX('Form A Mapping'!C:C, MATCH(1, (C95 &gt;= 'Form A Mapping'!A:A) * (C95 &lt;= 'Form A Mapping'!B:B), 0))</f>
        <v>8</v>
      </c>
      <c r="E95" s="608" t="s">
        <v>517</v>
      </c>
      <c r="F95" s="605">
        <f>22357</f>
        <v>22357</v>
      </c>
      <c r="G95" s="607"/>
      <c r="H95" s="607"/>
      <c r="I95" s="607"/>
      <c r="J95" s="607"/>
      <c r="K95" s="607"/>
      <c r="L95" s="607"/>
      <c r="M95" s="607"/>
      <c r="N95" s="607"/>
      <c r="O95" s="607"/>
      <c r="P95" s="607"/>
      <c r="Q95" s="607"/>
      <c r="R95" s="607"/>
      <c r="S95" s="607"/>
      <c r="T95" s="607"/>
      <c r="U95" s="607"/>
      <c r="V95" s="607"/>
      <c r="W95" s="605">
        <f t="shared" si="26"/>
        <v>22357</v>
      </c>
      <c r="X95" s="605">
        <f t="shared" si="27"/>
        <v>22357</v>
      </c>
      <c r="Y95" s="605">
        <f t="shared" si="27"/>
        <v>22357</v>
      </c>
      <c r="Z95" s="607"/>
      <c r="AA95" s="607"/>
      <c r="AB95" s="607"/>
      <c r="AC95" s="607"/>
      <c r="AJ95" s="482">
        <f t="shared" si="19"/>
        <v>22357</v>
      </c>
      <c r="AK95" s="482">
        <f t="shared" si="20"/>
        <v>0</v>
      </c>
    </row>
    <row r="96" spans="1:37">
      <c r="A96" s="478">
        <v>101</v>
      </c>
      <c r="B96" s="478" t="str">
        <f t="shared" si="30"/>
        <v>3002140</v>
      </c>
      <c r="C96" s="478">
        <v>2140</v>
      </c>
      <c r="D96" s="498" cm="1">
        <f t="array" ref="D96">INDEX('Form A Mapping'!C:C, MATCH(1, (C96 &gt;= 'Form A Mapping'!A:A) * (C96 &lt;= 'Form A Mapping'!B:B), 0))</f>
        <v>13</v>
      </c>
      <c r="E96" s="608" t="s">
        <v>518</v>
      </c>
      <c r="F96" s="605">
        <f>34927.75</f>
        <v>34927.75</v>
      </c>
      <c r="G96" s="607"/>
      <c r="H96" s="607"/>
      <c r="I96" s="607"/>
      <c r="J96" s="607"/>
      <c r="K96" s="607"/>
      <c r="L96" s="607"/>
      <c r="M96" s="607"/>
      <c r="N96" s="607"/>
      <c r="O96" s="607"/>
      <c r="P96" s="607"/>
      <c r="Q96" s="607"/>
      <c r="R96" s="607"/>
      <c r="S96" s="607"/>
      <c r="T96" s="607"/>
      <c r="U96" s="607"/>
      <c r="V96" s="607"/>
      <c r="W96" s="605">
        <f t="shared" si="26"/>
        <v>34927.75</v>
      </c>
      <c r="X96" s="605">
        <f t="shared" si="27"/>
        <v>34927.75</v>
      </c>
      <c r="Y96" s="605">
        <f t="shared" si="27"/>
        <v>34927.75</v>
      </c>
      <c r="Z96" s="607"/>
      <c r="AA96" s="607"/>
      <c r="AB96" s="607"/>
      <c r="AC96" s="607"/>
      <c r="AJ96" s="482">
        <f t="shared" si="19"/>
        <v>34927.75</v>
      </c>
      <c r="AK96" s="482">
        <f t="shared" si="20"/>
        <v>0</v>
      </c>
    </row>
    <row r="97" spans="1:37">
      <c r="A97" s="478">
        <v>101</v>
      </c>
      <c r="B97" s="478" t="str">
        <f t="shared" si="30"/>
        <v>3002160</v>
      </c>
      <c r="C97" s="478">
        <v>2160</v>
      </c>
      <c r="D97" s="498" cm="1">
        <f t="array" ref="D97">INDEX('Form A Mapping'!C:C, MATCH(1, (C97 &gt;= 'Form A Mapping'!A:A) * (C97 &lt;= 'Form A Mapping'!B:B), 0))</f>
        <v>13</v>
      </c>
      <c r="E97" s="608" t="s">
        <v>735</v>
      </c>
      <c r="F97" s="605">
        <f>27710</f>
        <v>27710</v>
      </c>
      <c r="G97" s="607"/>
      <c r="H97" s="607"/>
      <c r="I97" s="607"/>
      <c r="J97" s="607"/>
      <c r="K97" s="607"/>
      <c r="L97" s="607"/>
      <c r="M97" s="607"/>
      <c r="N97" s="607"/>
      <c r="O97" s="607"/>
      <c r="P97" s="607"/>
      <c r="Q97" s="607"/>
      <c r="R97" s="607"/>
      <c r="S97" s="607"/>
      <c r="T97" s="607"/>
      <c r="U97" s="607"/>
      <c r="V97" s="607"/>
      <c r="W97" s="605">
        <f t="shared" si="26"/>
        <v>27710</v>
      </c>
      <c r="X97" s="605">
        <f t="shared" si="27"/>
        <v>27710</v>
      </c>
      <c r="Y97" s="605">
        <f t="shared" si="27"/>
        <v>27710</v>
      </c>
      <c r="Z97" s="607"/>
      <c r="AA97" s="607"/>
      <c r="AB97" s="607"/>
      <c r="AC97" s="607"/>
      <c r="AJ97" s="482">
        <f t="shared" si="19"/>
        <v>27710</v>
      </c>
      <c r="AK97" s="482">
        <f t="shared" si="20"/>
        <v>0</v>
      </c>
    </row>
    <row r="98" spans="1:37">
      <c r="A98" s="478">
        <v>101</v>
      </c>
      <c r="B98" s="478" t="str">
        <f t="shared" si="30"/>
        <v>3002231</v>
      </c>
      <c r="C98" s="478">
        <v>2231</v>
      </c>
      <c r="D98" s="498" cm="1">
        <f t="array" ref="D98">INDEX('Form A Mapping'!C:C, MATCH(1, (C98 &gt;= 'Form A Mapping'!A:A) * (C98 &lt;= 'Form A Mapping'!B:B), 0))</f>
        <v>14</v>
      </c>
      <c r="E98" s="608" t="s">
        <v>519</v>
      </c>
      <c r="F98" s="605">
        <f>148962.02</f>
        <v>148962.01999999999</v>
      </c>
      <c r="G98" s="607"/>
      <c r="H98" s="607"/>
      <c r="I98" s="607"/>
      <c r="J98" s="607"/>
      <c r="K98" s="607"/>
      <c r="L98" s="605">
        <f>140320</f>
        <v>140320</v>
      </c>
      <c r="M98" s="607"/>
      <c r="N98" s="607"/>
      <c r="O98" s="607"/>
      <c r="P98" s="607"/>
      <c r="Q98" s="607"/>
      <c r="R98" s="607"/>
      <c r="S98" s="607"/>
      <c r="T98" s="607"/>
      <c r="U98" s="607"/>
      <c r="V98" s="607"/>
      <c r="W98" s="605">
        <f t="shared" si="26"/>
        <v>289282.02</v>
      </c>
      <c r="X98" s="605">
        <f t="shared" si="27"/>
        <v>289282.02</v>
      </c>
      <c r="Y98" s="605">
        <f t="shared" si="27"/>
        <v>289282.02</v>
      </c>
      <c r="Z98" s="607"/>
      <c r="AA98" s="607"/>
      <c r="AB98" s="607"/>
      <c r="AC98" s="607"/>
      <c r="AJ98" s="482">
        <f t="shared" si="19"/>
        <v>148962.02000000002</v>
      </c>
      <c r="AK98" s="482">
        <f t="shared" si="20"/>
        <v>140320</v>
      </c>
    </row>
    <row r="99" spans="1:37">
      <c r="A99" s="478">
        <v>101</v>
      </c>
      <c r="B99" s="478" t="str">
        <f t="shared" si="30"/>
        <v>3002232</v>
      </c>
      <c r="C99" s="478">
        <v>2232</v>
      </c>
      <c r="D99" s="498" cm="1">
        <f t="array" ref="D99">INDEX('Form A Mapping'!C:C, MATCH(1, (C99 &gt;= 'Form A Mapping'!A:A) * (C99 &lt;= 'Form A Mapping'!B:B), 0))</f>
        <v>14</v>
      </c>
      <c r="E99" s="608" t="s">
        <v>520</v>
      </c>
      <c r="F99" s="607"/>
      <c r="G99" s="607"/>
      <c r="H99" s="607"/>
      <c r="I99" s="607"/>
      <c r="J99" s="607"/>
      <c r="K99" s="607"/>
      <c r="L99" s="605">
        <f>77607.5</f>
        <v>77607.5</v>
      </c>
      <c r="M99" s="607"/>
      <c r="N99" s="607"/>
      <c r="O99" s="607"/>
      <c r="P99" s="607"/>
      <c r="Q99" s="607"/>
      <c r="R99" s="607"/>
      <c r="S99" s="607"/>
      <c r="T99" s="607"/>
      <c r="U99" s="607"/>
      <c r="V99" s="607"/>
      <c r="W99" s="605">
        <f t="shared" si="26"/>
        <v>77607.5</v>
      </c>
      <c r="X99" s="605">
        <f t="shared" si="27"/>
        <v>77607.5</v>
      </c>
      <c r="Y99" s="605">
        <f t="shared" si="27"/>
        <v>77607.5</v>
      </c>
      <c r="Z99" s="607"/>
      <c r="AA99" s="607"/>
      <c r="AB99" s="607"/>
      <c r="AC99" s="607"/>
      <c r="AJ99" s="482">
        <f t="shared" si="19"/>
        <v>0</v>
      </c>
      <c r="AK99" s="482">
        <f t="shared" si="20"/>
        <v>77607.5</v>
      </c>
    </row>
    <row r="100" spans="1:37">
      <c r="A100" s="478">
        <v>101</v>
      </c>
      <c r="B100" s="478" t="str">
        <f t="shared" si="30"/>
        <v>3002400</v>
      </c>
      <c r="C100" s="478">
        <v>2400</v>
      </c>
      <c r="D100" s="498" cm="1">
        <f t="array" ref="D100">INDEX('Form A Mapping'!C:C, MATCH(1, (C100 &gt;= 'Form A Mapping'!A:A) * (C100 &lt;= 'Form A Mapping'!B:B), 0))</f>
        <v>16</v>
      </c>
      <c r="E100" s="608" t="s">
        <v>521</v>
      </c>
      <c r="F100" s="605">
        <f>-13785.46</f>
        <v>-13785.46</v>
      </c>
      <c r="G100" s="607"/>
      <c r="H100" s="607"/>
      <c r="I100" s="605">
        <f>25200</f>
        <v>25200</v>
      </c>
      <c r="J100" s="607"/>
      <c r="K100" s="607"/>
      <c r="L100" s="607"/>
      <c r="M100" s="607"/>
      <c r="N100" s="607"/>
      <c r="O100" s="607"/>
      <c r="P100" s="607"/>
      <c r="Q100" s="607"/>
      <c r="R100" s="607"/>
      <c r="S100" s="607"/>
      <c r="T100" s="607"/>
      <c r="U100" s="607"/>
      <c r="V100" s="607"/>
      <c r="W100" s="605">
        <f t="shared" si="26"/>
        <v>11414.54</v>
      </c>
      <c r="X100" s="605">
        <f t="shared" si="27"/>
        <v>11414.54</v>
      </c>
      <c r="Y100" s="605">
        <f t="shared" si="27"/>
        <v>11414.54</v>
      </c>
      <c r="Z100" s="607"/>
      <c r="AA100" s="607"/>
      <c r="AB100" s="607"/>
      <c r="AC100" s="607"/>
      <c r="AJ100" s="482">
        <f t="shared" si="19"/>
        <v>-13785.46</v>
      </c>
      <c r="AK100" s="482">
        <f t="shared" si="20"/>
        <v>25200</v>
      </c>
    </row>
    <row r="101" spans="1:37">
      <c r="A101" s="478">
        <v>101</v>
      </c>
      <c r="B101" s="478" t="str">
        <f t="shared" si="30"/>
        <v>3002510</v>
      </c>
      <c r="C101" s="478">
        <v>2510</v>
      </c>
      <c r="D101" s="498" cm="1">
        <f t="array" ref="D101">INDEX('Form A Mapping'!C:C, MATCH(1, (C101 &gt;= 'Form A Mapping'!A:A) * (C101 &lt;= 'Form A Mapping'!B:B), 0))</f>
        <v>17</v>
      </c>
      <c r="E101" s="608" t="s">
        <v>522</v>
      </c>
      <c r="F101" s="605">
        <f>430.76</f>
        <v>430.76</v>
      </c>
      <c r="G101" s="607"/>
      <c r="H101" s="607"/>
      <c r="I101" s="607"/>
      <c r="J101" s="607"/>
      <c r="K101" s="607"/>
      <c r="L101" s="607"/>
      <c r="M101" s="607"/>
      <c r="N101" s="607"/>
      <c r="O101" s="607"/>
      <c r="P101" s="607"/>
      <c r="Q101" s="607"/>
      <c r="R101" s="607"/>
      <c r="S101" s="607"/>
      <c r="T101" s="607"/>
      <c r="U101" s="607"/>
      <c r="V101" s="607"/>
      <c r="W101" s="605">
        <f t="shared" si="26"/>
        <v>430.76</v>
      </c>
      <c r="X101" s="605">
        <f t="shared" si="27"/>
        <v>430.76</v>
      </c>
      <c r="Y101" s="605">
        <f t="shared" si="27"/>
        <v>430.76</v>
      </c>
      <c r="Z101" s="607"/>
      <c r="AA101" s="607"/>
      <c r="AB101" s="607"/>
      <c r="AC101" s="607"/>
      <c r="AJ101" s="482">
        <f t="shared" si="19"/>
        <v>430.76</v>
      </c>
      <c r="AK101" s="482">
        <f t="shared" si="20"/>
        <v>0</v>
      </c>
    </row>
    <row r="102" spans="1:37">
      <c r="A102" s="478">
        <v>101</v>
      </c>
      <c r="B102" s="478" t="str">
        <f t="shared" si="30"/>
        <v>3002660</v>
      </c>
      <c r="C102" s="478">
        <v>2660</v>
      </c>
      <c r="D102" s="498" cm="1">
        <f t="array" ref="D102">INDEX('Form A Mapping'!C:C, MATCH(1, (C102 &gt;= 'Form A Mapping'!A:A) * (C102 &lt;= 'Form A Mapping'!B:B), 0))</f>
        <v>18</v>
      </c>
      <c r="E102" s="608" t="s">
        <v>523</v>
      </c>
      <c r="F102" s="605">
        <f>10243.5</f>
        <v>10243.5</v>
      </c>
      <c r="G102" s="607"/>
      <c r="H102" s="607"/>
      <c r="I102" s="607"/>
      <c r="J102" s="607"/>
      <c r="K102" s="607"/>
      <c r="L102" s="607"/>
      <c r="M102" s="607"/>
      <c r="N102" s="607"/>
      <c r="O102" s="607"/>
      <c r="P102" s="607"/>
      <c r="Q102" s="607"/>
      <c r="R102" s="607"/>
      <c r="S102" s="607"/>
      <c r="T102" s="607"/>
      <c r="U102" s="607"/>
      <c r="V102" s="607"/>
      <c r="W102" s="605">
        <f t="shared" si="26"/>
        <v>10243.5</v>
      </c>
      <c r="X102" s="605">
        <f t="shared" si="27"/>
        <v>10243.5</v>
      </c>
      <c r="Y102" s="605">
        <f t="shared" si="27"/>
        <v>10243.5</v>
      </c>
      <c r="Z102" s="607"/>
      <c r="AA102" s="607"/>
      <c r="AB102" s="607"/>
      <c r="AC102" s="607"/>
      <c r="AJ102" s="482">
        <f t="shared" si="19"/>
        <v>10243.5</v>
      </c>
      <c r="AK102" s="482">
        <f t="shared" si="20"/>
        <v>0</v>
      </c>
    </row>
    <row r="103" spans="1:37">
      <c r="A103" s="478">
        <v>101</v>
      </c>
      <c r="B103" s="478" t="str">
        <f t="shared" si="30"/>
        <v>3002830</v>
      </c>
      <c r="C103" s="478">
        <v>2830</v>
      </c>
      <c r="D103" s="498" cm="1">
        <f t="array" ref="D103">INDEX('Form A Mapping'!C:C, MATCH(1, (C103 &gt;= 'Form A Mapping'!A:A) * (C103 &lt;= 'Form A Mapping'!B:B), 0))</f>
        <v>20</v>
      </c>
      <c r="E103" s="608" t="s">
        <v>524</v>
      </c>
      <c r="F103" s="605">
        <f>25972.87</f>
        <v>25972.87</v>
      </c>
      <c r="G103" s="607"/>
      <c r="H103" s="607"/>
      <c r="I103" s="607"/>
      <c r="J103" s="607"/>
      <c r="K103" s="607"/>
      <c r="L103" s="607"/>
      <c r="M103" s="607"/>
      <c r="N103" s="607"/>
      <c r="O103" s="607"/>
      <c r="P103" s="607"/>
      <c r="Q103" s="607"/>
      <c r="R103" s="607"/>
      <c r="S103" s="607"/>
      <c r="T103" s="607"/>
      <c r="U103" s="607"/>
      <c r="V103" s="607"/>
      <c r="W103" s="605">
        <f t="shared" si="26"/>
        <v>25972.87</v>
      </c>
      <c r="X103" s="605">
        <f t="shared" si="27"/>
        <v>25972.87</v>
      </c>
      <c r="Y103" s="605">
        <f t="shared" si="27"/>
        <v>25972.87</v>
      </c>
      <c r="Z103" s="607"/>
      <c r="AA103" s="607"/>
      <c r="AB103" s="607"/>
      <c r="AC103" s="607"/>
      <c r="AJ103" s="482">
        <f t="shared" si="19"/>
        <v>25972.87</v>
      </c>
      <c r="AK103" s="482">
        <f t="shared" si="20"/>
        <v>0</v>
      </c>
    </row>
    <row r="104" spans="1:37">
      <c r="A104" s="478">
        <v>98</v>
      </c>
      <c r="B104" s="478" t="str">
        <f t="shared" si="30"/>
        <v>3322310</v>
      </c>
      <c r="C104" s="478">
        <v>2310</v>
      </c>
      <c r="D104" s="498" cm="1">
        <f t="array" ref="D104">INDEX('Form A Mapping'!C:C, MATCH(1, (C104 &gt;= 'Form A Mapping'!A:A) * (C104 &lt;= 'Form A Mapping'!B:B), 0))</f>
        <v>15</v>
      </c>
      <c r="E104" s="608" t="s">
        <v>525</v>
      </c>
      <c r="F104" s="605">
        <f>2336.99</f>
        <v>2336.9899999999998</v>
      </c>
      <c r="G104" s="607"/>
      <c r="H104" s="607"/>
      <c r="I104" s="607"/>
      <c r="J104" s="607"/>
      <c r="K104" s="607"/>
      <c r="L104" s="607"/>
      <c r="M104" s="607"/>
      <c r="N104" s="607"/>
      <c r="O104" s="607"/>
      <c r="P104" s="607"/>
      <c r="Q104" s="607"/>
      <c r="R104" s="607"/>
      <c r="S104" s="607"/>
      <c r="T104" s="607"/>
      <c r="U104" s="607"/>
      <c r="V104" s="607"/>
      <c r="W104" s="605">
        <f t="shared" si="26"/>
        <v>2336.9899999999998</v>
      </c>
      <c r="X104" s="605">
        <f t="shared" si="27"/>
        <v>2336.9899999999998</v>
      </c>
      <c r="Y104" s="605">
        <f t="shared" si="27"/>
        <v>2336.9899999999998</v>
      </c>
      <c r="Z104" s="607"/>
      <c r="AA104" s="607"/>
      <c r="AB104" s="607"/>
      <c r="AC104" s="607"/>
      <c r="AJ104" s="482">
        <f t="shared" si="19"/>
        <v>2336.9899999999998</v>
      </c>
      <c r="AK104" s="482">
        <f t="shared" si="20"/>
        <v>0</v>
      </c>
    </row>
    <row r="105" spans="1:37">
      <c r="A105" s="478">
        <v>99</v>
      </c>
      <c r="B105" s="478" t="str">
        <f t="shared" si="30"/>
        <v>3332310</v>
      </c>
      <c r="C105" s="478">
        <v>2310</v>
      </c>
      <c r="D105" s="498" cm="1">
        <f t="array" ref="D105">INDEX('Form A Mapping'!C:C, MATCH(1, (C105 &gt;= 'Form A Mapping'!A:A) * (C105 &lt;= 'Form A Mapping'!B:B), 0))</f>
        <v>15</v>
      </c>
      <c r="E105" s="608" t="s">
        <v>526</v>
      </c>
      <c r="F105" s="605">
        <f>17945</f>
        <v>17945</v>
      </c>
      <c r="G105" s="607"/>
      <c r="H105" s="607"/>
      <c r="I105" s="607"/>
      <c r="J105" s="607"/>
      <c r="K105" s="607"/>
      <c r="L105" s="607"/>
      <c r="M105" s="607"/>
      <c r="N105" s="607"/>
      <c r="O105" s="607"/>
      <c r="P105" s="607"/>
      <c r="Q105" s="607"/>
      <c r="R105" s="607"/>
      <c r="S105" s="607"/>
      <c r="T105" s="607"/>
      <c r="U105" s="607"/>
      <c r="V105" s="607"/>
      <c r="W105" s="605">
        <f t="shared" si="26"/>
        <v>17945</v>
      </c>
      <c r="X105" s="605">
        <f t="shared" si="27"/>
        <v>17945</v>
      </c>
      <c r="Y105" s="605">
        <f t="shared" si="27"/>
        <v>17945</v>
      </c>
      <c r="Z105" s="607"/>
      <c r="AA105" s="607"/>
      <c r="AB105" s="607"/>
      <c r="AC105" s="607"/>
      <c r="AJ105" s="482">
        <f t="shared" si="19"/>
        <v>17945</v>
      </c>
      <c r="AK105" s="482">
        <f t="shared" si="20"/>
        <v>0</v>
      </c>
    </row>
    <row r="106" spans="1:37">
      <c r="A106" s="478">
        <v>101</v>
      </c>
      <c r="B106" s="478" t="str">
        <f t="shared" si="30"/>
        <v>3392830</v>
      </c>
      <c r="C106" s="478">
        <v>2830</v>
      </c>
      <c r="D106" s="498" cm="1">
        <f t="array" ref="D106">INDEX('Form A Mapping'!C:C, MATCH(1, (C106 &gt;= 'Form A Mapping'!A:A) * (C106 &lt;= 'Form A Mapping'!B:B), 0))</f>
        <v>20</v>
      </c>
      <c r="E106" s="608" t="s">
        <v>527</v>
      </c>
      <c r="F106" s="605">
        <f>456.57</f>
        <v>456.57</v>
      </c>
      <c r="G106" s="607"/>
      <c r="H106" s="607"/>
      <c r="I106" s="607"/>
      <c r="J106" s="607"/>
      <c r="K106" s="607"/>
      <c r="L106" s="607"/>
      <c r="M106" s="607"/>
      <c r="N106" s="607"/>
      <c r="O106" s="607"/>
      <c r="P106" s="607"/>
      <c r="Q106" s="607"/>
      <c r="R106" s="607"/>
      <c r="S106" s="607"/>
      <c r="T106" s="607"/>
      <c r="U106" s="607"/>
      <c r="V106" s="607"/>
      <c r="W106" s="605">
        <f t="shared" si="26"/>
        <v>456.57</v>
      </c>
      <c r="X106" s="605">
        <f t="shared" si="27"/>
        <v>456.57</v>
      </c>
      <c r="Y106" s="605">
        <f t="shared" si="27"/>
        <v>456.57</v>
      </c>
      <c r="Z106" s="607"/>
      <c r="AA106" s="607"/>
      <c r="AB106" s="607"/>
      <c r="AC106" s="607"/>
      <c r="AJ106" s="482">
        <f t="shared" si="19"/>
        <v>456.57</v>
      </c>
      <c r="AK106" s="482">
        <f t="shared" si="20"/>
        <v>0</v>
      </c>
    </row>
    <row r="107" spans="1:37">
      <c r="A107" s="478">
        <v>99</v>
      </c>
      <c r="B107" s="478" t="str">
        <f t="shared" si="30"/>
        <v>3402510</v>
      </c>
      <c r="C107" s="478">
        <v>2510</v>
      </c>
      <c r="D107" s="498" cm="1">
        <f t="array" ref="D107">INDEX('Form A Mapping'!C:C, MATCH(1, (C107 &gt;= 'Form A Mapping'!A:A) * (C107 &lt;= 'Form A Mapping'!B:B), 0))</f>
        <v>17</v>
      </c>
      <c r="E107" s="608" t="s">
        <v>528</v>
      </c>
      <c r="F107" s="605">
        <f>10701.08</f>
        <v>10701.08</v>
      </c>
      <c r="G107" s="607"/>
      <c r="H107" s="607"/>
      <c r="I107" s="607"/>
      <c r="J107" s="607"/>
      <c r="K107" s="605">
        <f>71433.75</f>
        <v>71433.75</v>
      </c>
      <c r="L107" s="607"/>
      <c r="M107" s="607"/>
      <c r="N107" s="607"/>
      <c r="O107" s="607"/>
      <c r="P107" s="607"/>
      <c r="Q107" s="607"/>
      <c r="R107" s="607"/>
      <c r="S107" s="607"/>
      <c r="T107" s="607"/>
      <c r="U107" s="607"/>
      <c r="V107" s="607"/>
      <c r="W107" s="605">
        <f t="shared" si="26"/>
        <v>82134.83</v>
      </c>
      <c r="X107" s="605">
        <f t="shared" si="27"/>
        <v>82134.83</v>
      </c>
      <c r="Y107" s="605">
        <f t="shared" si="27"/>
        <v>82134.83</v>
      </c>
      <c r="Z107" s="607"/>
      <c r="AA107" s="607"/>
      <c r="AB107" s="607"/>
      <c r="AC107" s="607"/>
      <c r="AJ107" s="482">
        <f t="shared" si="19"/>
        <v>10701.080000000002</v>
      </c>
      <c r="AK107" s="482">
        <f t="shared" si="20"/>
        <v>71433.75</v>
      </c>
    </row>
    <row r="108" spans="1:37">
      <c r="A108" s="478">
        <v>101</v>
      </c>
      <c r="B108" s="478" t="str">
        <f t="shared" si="30"/>
        <v>3402840</v>
      </c>
      <c r="C108" s="478">
        <v>2840</v>
      </c>
      <c r="D108" s="498" cm="1">
        <f t="array" ref="D108">INDEX('Form A Mapping'!C:C, MATCH(1, (C108 &gt;= 'Form A Mapping'!A:A) * (C108 &lt;= 'Form A Mapping'!B:B), 0))</f>
        <v>20</v>
      </c>
      <c r="E108" s="608" t="s">
        <v>529</v>
      </c>
      <c r="F108" s="605">
        <f>61142.92</f>
        <v>61142.92</v>
      </c>
      <c r="G108" s="607"/>
      <c r="H108" s="607"/>
      <c r="I108" s="607"/>
      <c r="J108" s="607"/>
      <c r="K108" s="605">
        <f>100257.41</f>
        <v>100257.41</v>
      </c>
      <c r="L108" s="607"/>
      <c r="M108" s="607"/>
      <c r="N108" s="607"/>
      <c r="O108" s="607"/>
      <c r="P108" s="607"/>
      <c r="Q108" s="607"/>
      <c r="R108" s="607"/>
      <c r="S108" s="607"/>
      <c r="T108" s="607"/>
      <c r="U108" s="607"/>
      <c r="V108" s="607"/>
      <c r="W108" s="605">
        <f t="shared" si="26"/>
        <v>161400.33000000002</v>
      </c>
      <c r="X108" s="605">
        <f t="shared" si="27"/>
        <v>161400.33000000002</v>
      </c>
      <c r="Y108" s="605">
        <f t="shared" si="27"/>
        <v>161400.33000000002</v>
      </c>
      <c r="Z108" s="607"/>
      <c r="AA108" s="607"/>
      <c r="AB108" s="607"/>
      <c r="AC108" s="607"/>
      <c r="AJ108" s="482">
        <f t="shared" si="19"/>
        <v>61142.920000000013</v>
      </c>
      <c r="AK108" s="482">
        <f t="shared" si="20"/>
        <v>100257.41</v>
      </c>
    </row>
    <row r="109" spans="1:37">
      <c r="E109" s="608" t="s">
        <v>530</v>
      </c>
      <c r="F109" s="606">
        <f t="shared" ref="F109:V109" si="31">((((((((((((((F94)+(F95))+(F96))+(F97))+(F98))+(F99))+(F100))+(F101))+(F102))+(F103))+(F104))+(F105))+(F106))+(F107))+(F108)</f>
        <v>349401</v>
      </c>
      <c r="G109" s="606">
        <f t="shared" si="31"/>
        <v>0</v>
      </c>
      <c r="H109" s="606">
        <f t="shared" si="31"/>
        <v>0</v>
      </c>
      <c r="I109" s="606">
        <f t="shared" si="31"/>
        <v>25200</v>
      </c>
      <c r="J109" s="606">
        <f t="shared" si="31"/>
        <v>0</v>
      </c>
      <c r="K109" s="606">
        <f t="shared" si="31"/>
        <v>171691.16</v>
      </c>
      <c r="L109" s="606">
        <f t="shared" si="31"/>
        <v>217927.5</v>
      </c>
      <c r="M109" s="606">
        <f t="shared" si="31"/>
        <v>0</v>
      </c>
      <c r="N109" s="606">
        <f t="shared" si="31"/>
        <v>0</v>
      </c>
      <c r="O109" s="606">
        <f t="shared" si="31"/>
        <v>0</v>
      </c>
      <c r="P109" s="606">
        <f t="shared" si="31"/>
        <v>0</v>
      </c>
      <c r="Q109" s="606">
        <f t="shared" si="31"/>
        <v>0</v>
      </c>
      <c r="R109" s="606">
        <f t="shared" si="31"/>
        <v>0</v>
      </c>
      <c r="S109" s="606">
        <f t="shared" si="31"/>
        <v>0</v>
      </c>
      <c r="T109" s="606">
        <f t="shared" si="31"/>
        <v>0</v>
      </c>
      <c r="U109" s="606">
        <f t="shared" si="31"/>
        <v>0</v>
      </c>
      <c r="V109" s="606">
        <f t="shared" si="31"/>
        <v>0</v>
      </c>
      <c r="W109" s="606">
        <f t="shared" si="26"/>
        <v>764219.66</v>
      </c>
      <c r="X109" s="606">
        <f t="shared" si="27"/>
        <v>764219.66</v>
      </c>
      <c r="Y109" s="606">
        <f t="shared" si="27"/>
        <v>764219.66</v>
      </c>
      <c r="Z109" s="607"/>
      <c r="AA109" s="607"/>
      <c r="AB109" s="607"/>
      <c r="AC109" s="607"/>
      <c r="AJ109" s="482">
        <f t="shared" si="19"/>
        <v>349401</v>
      </c>
      <c r="AK109" s="482">
        <f t="shared" si="20"/>
        <v>414818.66000000003</v>
      </c>
    </row>
    <row r="110" spans="1:37">
      <c r="A110" s="478">
        <v>108</v>
      </c>
      <c r="B110" s="478" t="str">
        <f t="shared" ref="B110:B120" si="32">LEFT(TRIM(E110), 7)</f>
        <v>4000000</v>
      </c>
      <c r="C110" s="478">
        <v>0</v>
      </c>
      <c r="D110" s="498" cm="1">
        <f t="array" ref="D110">INDEX('Form A Mapping'!C:C, MATCH(1, (C110 &gt;= 'Form A Mapping'!A:A) * (C110 &lt;= 'Form A Mapping'!B:B), 0))</f>
        <v>0</v>
      </c>
      <c r="E110" s="608" t="s">
        <v>531</v>
      </c>
      <c r="F110" s="607"/>
      <c r="G110" s="607"/>
      <c r="H110" s="607"/>
      <c r="I110" s="607"/>
      <c r="J110" s="607"/>
      <c r="K110" s="607"/>
      <c r="L110" s="607"/>
      <c r="M110" s="607"/>
      <c r="N110" s="607"/>
      <c r="O110" s="607"/>
      <c r="P110" s="607"/>
      <c r="Q110" s="607"/>
      <c r="R110" s="607"/>
      <c r="S110" s="607"/>
      <c r="T110" s="607"/>
      <c r="U110" s="607"/>
      <c r="V110" s="607"/>
      <c r="W110" s="605">
        <f t="shared" si="26"/>
        <v>0</v>
      </c>
      <c r="X110" s="605">
        <f t="shared" si="27"/>
        <v>0</v>
      </c>
      <c r="Y110" s="605">
        <f t="shared" si="27"/>
        <v>0</v>
      </c>
      <c r="Z110" s="607"/>
      <c r="AA110" s="607"/>
      <c r="AB110" s="607"/>
      <c r="AC110" s="607"/>
      <c r="AJ110" s="482">
        <f t="shared" si="19"/>
        <v>0</v>
      </c>
      <c r="AK110" s="482">
        <f t="shared" si="20"/>
        <v>0</v>
      </c>
    </row>
    <row r="111" spans="1:37">
      <c r="A111" s="478">
        <v>108</v>
      </c>
      <c r="B111" s="478" t="str">
        <f t="shared" si="32"/>
        <v>4002310</v>
      </c>
      <c r="C111" s="478">
        <v>2310</v>
      </c>
      <c r="D111" s="498" cm="1">
        <f t="array" ref="D111">INDEX('Form A Mapping'!C:C, MATCH(1, (C111 &gt;= 'Form A Mapping'!A:A) * (C111 &lt;= 'Form A Mapping'!B:B), 0))</f>
        <v>15</v>
      </c>
      <c r="E111" s="608" t="s">
        <v>532</v>
      </c>
      <c r="F111" s="605">
        <f>24672.59</f>
        <v>24672.59</v>
      </c>
      <c r="G111" s="607"/>
      <c r="H111" s="607"/>
      <c r="I111" s="607"/>
      <c r="J111" s="607"/>
      <c r="K111" s="607"/>
      <c r="L111" s="607"/>
      <c r="M111" s="607"/>
      <c r="N111" s="607"/>
      <c r="O111" s="607"/>
      <c r="P111" s="607"/>
      <c r="Q111" s="607"/>
      <c r="R111" s="607"/>
      <c r="S111" s="607"/>
      <c r="T111" s="607"/>
      <c r="U111" s="607"/>
      <c r="V111" s="607"/>
      <c r="W111" s="605">
        <f t="shared" si="26"/>
        <v>24672.59</v>
      </c>
      <c r="X111" s="605">
        <f t="shared" si="27"/>
        <v>24672.59</v>
      </c>
      <c r="Y111" s="605">
        <f t="shared" si="27"/>
        <v>24672.59</v>
      </c>
      <c r="Z111" s="607"/>
      <c r="AA111" s="607"/>
      <c r="AB111" s="607"/>
      <c r="AC111" s="607"/>
      <c r="AJ111" s="482">
        <f t="shared" si="19"/>
        <v>24672.59</v>
      </c>
      <c r="AK111" s="482">
        <f t="shared" si="20"/>
        <v>0</v>
      </c>
    </row>
    <row r="112" spans="1:37">
      <c r="A112" s="478">
        <v>108</v>
      </c>
      <c r="B112" s="478" t="str">
        <f t="shared" si="32"/>
        <v>4002660</v>
      </c>
      <c r="C112" s="478">
        <v>2660</v>
      </c>
      <c r="D112" s="498" cm="1">
        <f t="array" ref="D112">INDEX('Form A Mapping'!C:C, MATCH(1, (C112 &gt;= 'Form A Mapping'!A:A) * (C112 &lt;= 'Form A Mapping'!B:B), 0))</f>
        <v>18</v>
      </c>
      <c r="E112" s="608" t="s">
        <v>533</v>
      </c>
      <c r="F112" s="605">
        <f>11522.56</f>
        <v>11522.56</v>
      </c>
      <c r="G112" s="607"/>
      <c r="H112" s="607"/>
      <c r="I112" s="607"/>
      <c r="J112" s="607"/>
      <c r="K112" s="607"/>
      <c r="L112" s="607"/>
      <c r="M112" s="607"/>
      <c r="N112" s="607"/>
      <c r="O112" s="607"/>
      <c r="P112" s="607"/>
      <c r="Q112" s="607"/>
      <c r="R112" s="607"/>
      <c r="S112" s="607"/>
      <c r="T112" s="607"/>
      <c r="U112" s="607"/>
      <c r="V112" s="607"/>
      <c r="W112" s="605">
        <f t="shared" si="26"/>
        <v>11522.56</v>
      </c>
      <c r="X112" s="605">
        <f t="shared" si="27"/>
        <v>11522.56</v>
      </c>
      <c r="Y112" s="605">
        <f t="shared" si="27"/>
        <v>11522.56</v>
      </c>
      <c r="Z112" s="607"/>
      <c r="AA112" s="607"/>
      <c r="AB112" s="607"/>
      <c r="AC112" s="607"/>
      <c r="AJ112" s="482">
        <f t="shared" si="19"/>
        <v>11522.56</v>
      </c>
      <c r="AK112" s="482">
        <f t="shared" si="20"/>
        <v>0</v>
      </c>
    </row>
    <row r="113" spans="1:37">
      <c r="A113" s="478">
        <v>104</v>
      </c>
      <c r="B113" s="478" t="str">
        <f t="shared" si="32"/>
        <v>4112620</v>
      </c>
      <c r="C113" s="478">
        <v>2620</v>
      </c>
      <c r="D113" s="498" cm="1">
        <f t="array" ref="D113">INDEX('Form A Mapping'!C:C, MATCH(1, (C113 &gt;= 'Form A Mapping'!A:A) * (C113 &lt;= 'Form A Mapping'!B:B), 0))</f>
        <v>18</v>
      </c>
      <c r="E113" s="608" t="s">
        <v>534</v>
      </c>
      <c r="F113" s="605">
        <f>10286.04</f>
        <v>10286.040000000001</v>
      </c>
      <c r="G113" s="607"/>
      <c r="H113" s="607"/>
      <c r="I113" s="607"/>
      <c r="J113" s="607"/>
      <c r="K113" s="607"/>
      <c r="L113" s="607"/>
      <c r="M113" s="607"/>
      <c r="N113" s="607"/>
      <c r="O113" s="607"/>
      <c r="P113" s="607"/>
      <c r="Q113" s="607"/>
      <c r="R113" s="607"/>
      <c r="S113" s="607"/>
      <c r="T113" s="607"/>
      <c r="U113" s="607"/>
      <c r="V113" s="607"/>
      <c r="W113" s="605">
        <f t="shared" si="26"/>
        <v>10286.040000000001</v>
      </c>
      <c r="X113" s="605">
        <f t="shared" si="27"/>
        <v>10286.040000000001</v>
      </c>
      <c r="Y113" s="605">
        <f t="shared" si="27"/>
        <v>10286.040000000001</v>
      </c>
      <c r="Z113" s="607"/>
      <c r="AA113" s="607"/>
      <c r="AB113" s="607"/>
      <c r="AC113" s="607"/>
      <c r="AJ113" s="482">
        <f t="shared" si="19"/>
        <v>10286.040000000001</v>
      </c>
      <c r="AK113" s="482">
        <f t="shared" si="20"/>
        <v>0</v>
      </c>
    </row>
    <row r="114" spans="1:37">
      <c r="A114" s="478">
        <v>108</v>
      </c>
      <c r="B114" s="478" t="str">
        <f t="shared" si="32"/>
        <v>4212620</v>
      </c>
      <c r="C114" s="478">
        <v>2620</v>
      </c>
      <c r="D114" s="498" cm="1">
        <f t="array" ref="D114">INDEX('Form A Mapping'!C:C, MATCH(1, (C114 &gt;= 'Form A Mapping'!A:A) * (C114 &lt;= 'Form A Mapping'!B:B), 0))</f>
        <v>18</v>
      </c>
      <c r="E114" s="608" t="s">
        <v>535</v>
      </c>
      <c r="F114" s="605">
        <f>10552.1</f>
        <v>10552.1</v>
      </c>
      <c r="G114" s="607"/>
      <c r="H114" s="607"/>
      <c r="I114" s="607"/>
      <c r="J114" s="607"/>
      <c r="K114" s="607"/>
      <c r="L114" s="607"/>
      <c r="M114" s="607"/>
      <c r="N114" s="607"/>
      <c r="O114" s="607"/>
      <c r="P114" s="607"/>
      <c r="Q114" s="607"/>
      <c r="R114" s="607"/>
      <c r="S114" s="607"/>
      <c r="T114" s="607"/>
      <c r="U114" s="607"/>
      <c r="V114" s="607"/>
      <c r="W114" s="605">
        <f t="shared" si="26"/>
        <v>10552.1</v>
      </c>
      <c r="X114" s="605">
        <f t="shared" si="27"/>
        <v>10552.1</v>
      </c>
      <c r="Y114" s="605">
        <f t="shared" si="27"/>
        <v>10552.1</v>
      </c>
      <c r="Z114" s="607"/>
      <c r="AA114" s="607"/>
      <c r="AB114" s="607"/>
      <c r="AC114" s="607"/>
      <c r="AJ114" s="482">
        <f t="shared" si="19"/>
        <v>10552.1</v>
      </c>
      <c r="AK114" s="482">
        <f t="shared" si="20"/>
        <v>0</v>
      </c>
    </row>
    <row r="115" spans="1:37">
      <c r="A115" s="478">
        <v>108</v>
      </c>
      <c r="B115" s="478" t="str">
        <f t="shared" si="32"/>
        <v>4232620</v>
      </c>
      <c r="C115" s="478">
        <v>2620</v>
      </c>
      <c r="D115" s="498" cm="1">
        <f t="array" ref="D115">INDEX('Form A Mapping'!C:C, MATCH(1, (C115 &gt;= 'Form A Mapping'!A:A) * (C115 &lt;= 'Form A Mapping'!B:B), 0))</f>
        <v>18</v>
      </c>
      <c r="E115" s="608" t="s">
        <v>536</v>
      </c>
      <c r="F115" s="605">
        <f>431.37</f>
        <v>431.37</v>
      </c>
      <c r="G115" s="607"/>
      <c r="H115" s="607"/>
      <c r="I115" s="607"/>
      <c r="J115" s="607"/>
      <c r="K115" s="607"/>
      <c r="L115" s="607"/>
      <c r="M115" s="607"/>
      <c r="N115" s="607"/>
      <c r="O115" s="607"/>
      <c r="P115" s="607"/>
      <c r="Q115" s="607"/>
      <c r="R115" s="607"/>
      <c r="S115" s="607"/>
      <c r="T115" s="607"/>
      <c r="U115" s="607"/>
      <c r="V115" s="607"/>
      <c r="W115" s="605">
        <f t="shared" si="26"/>
        <v>431.37</v>
      </c>
      <c r="X115" s="605">
        <f t="shared" si="27"/>
        <v>431.37</v>
      </c>
      <c r="Y115" s="605">
        <f t="shared" si="27"/>
        <v>431.37</v>
      </c>
      <c r="Z115" s="607"/>
      <c r="AA115" s="607"/>
      <c r="AB115" s="607"/>
      <c r="AC115" s="607"/>
      <c r="AJ115" s="482">
        <f t="shared" si="19"/>
        <v>431.37</v>
      </c>
      <c r="AK115" s="482">
        <f t="shared" si="20"/>
        <v>0</v>
      </c>
    </row>
    <row r="116" spans="1:37">
      <c r="A116" s="478">
        <v>108</v>
      </c>
      <c r="B116" s="478" t="str">
        <f t="shared" si="32"/>
        <v>4242630</v>
      </c>
      <c r="C116" s="478">
        <v>2630</v>
      </c>
      <c r="D116" s="498" cm="1">
        <f t="array" ref="D116">INDEX('Form A Mapping'!C:C, MATCH(1, (C116 &gt;= 'Form A Mapping'!A:A) * (C116 &lt;= 'Form A Mapping'!B:B), 0))</f>
        <v>18</v>
      </c>
      <c r="E116" s="608" t="s">
        <v>537</v>
      </c>
      <c r="F116" s="605">
        <f>27735</f>
        <v>27735</v>
      </c>
      <c r="G116" s="607"/>
      <c r="H116" s="607"/>
      <c r="I116" s="607"/>
      <c r="J116" s="607"/>
      <c r="K116" s="607"/>
      <c r="L116" s="607"/>
      <c r="M116" s="607"/>
      <c r="N116" s="607"/>
      <c r="O116" s="607"/>
      <c r="P116" s="607"/>
      <c r="Q116" s="607"/>
      <c r="R116" s="607"/>
      <c r="S116" s="607"/>
      <c r="T116" s="607"/>
      <c r="U116" s="607"/>
      <c r="V116" s="607"/>
      <c r="W116" s="605">
        <f t="shared" si="26"/>
        <v>27735</v>
      </c>
      <c r="X116" s="605">
        <f t="shared" si="27"/>
        <v>27735</v>
      </c>
      <c r="Y116" s="605">
        <f t="shared" si="27"/>
        <v>27735</v>
      </c>
      <c r="Z116" s="607"/>
      <c r="AA116" s="607"/>
      <c r="AB116" s="607"/>
      <c r="AC116" s="607"/>
      <c r="AJ116" s="482">
        <f t="shared" si="19"/>
        <v>27735</v>
      </c>
      <c r="AK116" s="482">
        <f t="shared" si="20"/>
        <v>0</v>
      </c>
    </row>
    <row r="117" spans="1:37">
      <c r="A117" s="478">
        <v>107</v>
      </c>
      <c r="B117" s="478" t="str">
        <f t="shared" si="32"/>
        <v>4302620</v>
      </c>
      <c r="C117" s="478">
        <v>2620</v>
      </c>
      <c r="D117" s="498" cm="1">
        <f t="array" ref="D117">INDEX('Form A Mapping'!C:C, MATCH(1, (C117 &gt;= 'Form A Mapping'!A:A) * (C117 &lt;= 'Form A Mapping'!B:B), 0))</f>
        <v>18</v>
      </c>
      <c r="E117" s="608" t="s">
        <v>538</v>
      </c>
      <c r="F117" s="605">
        <f>72963.99</f>
        <v>72963.990000000005</v>
      </c>
      <c r="G117" s="607"/>
      <c r="H117" s="607"/>
      <c r="I117" s="607"/>
      <c r="J117" s="607"/>
      <c r="K117" s="607"/>
      <c r="L117" s="607"/>
      <c r="M117" s="607"/>
      <c r="N117" s="607"/>
      <c r="O117" s="607"/>
      <c r="P117" s="607"/>
      <c r="Q117" s="607"/>
      <c r="R117" s="607"/>
      <c r="S117" s="607"/>
      <c r="T117" s="607"/>
      <c r="U117" s="607"/>
      <c r="V117" s="607"/>
      <c r="W117" s="605">
        <f t="shared" si="26"/>
        <v>72963.990000000005</v>
      </c>
      <c r="X117" s="605">
        <f t="shared" si="27"/>
        <v>72963.990000000005</v>
      </c>
      <c r="Y117" s="605">
        <f t="shared" si="27"/>
        <v>72963.990000000005</v>
      </c>
      <c r="Z117" s="607"/>
      <c r="AA117" s="607"/>
      <c r="AB117" s="607"/>
      <c r="AC117" s="607"/>
      <c r="AJ117" s="482">
        <f t="shared" si="19"/>
        <v>72963.990000000005</v>
      </c>
      <c r="AK117" s="482">
        <f t="shared" si="20"/>
        <v>0</v>
      </c>
    </row>
    <row r="118" spans="1:37">
      <c r="A118" s="478">
        <v>107</v>
      </c>
      <c r="B118" s="478" t="str">
        <f t="shared" si="32"/>
        <v>4303100</v>
      </c>
      <c r="C118" s="478">
        <v>3100</v>
      </c>
      <c r="D118" s="498" cm="1">
        <f t="array" ref="D118">INDEX('Form A Mapping'!C:C, MATCH(1, (C118 &gt;= 'Form A Mapping'!A:A) * (C118 &lt;= 'Form A Mapping'!B:B), 0))</f>
        <v>21</v>
      </c>
      <c r="E118" s="608" t="s">
        <v>539</v>
      </c>
      <c r="F118" s="605">
        <f>1019.86</f>
        <v>1019.86</v>
      </c>
      <c r="G118" s="607"/>
      <c r="H118" s="607"/>
      <c r="I118" s="607"/>
      <c r="J118" s="607"/>
      <c r="K118" s="607"/>
      <c r="L118" s="607"/>
      <c r="M118" s="607"/>
      <c r="N118" s="607"/>
      <c r="O118" s="607"/>
      <c r="P118" s="607"/>
      <c r="Q118" s="607"/>
      <c r="R118" s="607"/>
      <c r="S118" s="607"/>
      <c r="T118" s="607"/>
      <c r="U118" s="607"/>
      <c r="V118" s="607"/>
      <c r="W118" s="605">
        <f t="shared" si="26"/>
        <v>1019.86</v>
      </c>
      <c r="X118" s="605">
        <f t="shared" si="27"/>
        <v>1019.86</v>
      </c>
      <c r="Y118" s="605">
        <f t="shared" si="27"/>
        <v>1019.86</v>
      </c>
      <c r="Z118" s="607"/>
      <c r="AA118" s="607"/>
      <c r="AB118" s="607"/>
      <c r="AC118" s="607"/>
      <c r="AJ118" s="482">
        <f t="shared" si="19"/>
        <v>1019.86</v>
      </c>
      <c r="AK118" s="482">
        <f t="shared" si="20"/>
        <v>0</v>
      </c>
    </row>
    <row r="119" spans="1:37">
      <c r="A119" s="478">
        <v>105</v>
      </c>
      <c r="B119" s="478" t="str">
        <f t="shared" si="32"/>
        <v>4412620</v>
      </c>
      <c r="C119" s="478">
        <v>2620</v>
      </c>
      <c r="D119" s="498" cm="1">
        <f t="array" ref="D119">INDEX('Form A Mapping'!C:C, MATCH(1, (C119 &gt;= 'Form A Mapping'!A:A) * (C119 &lt;= 'Form A Mapping'!B:B), 0))</f>
        <v>18</v>
      </c>
      <c r="E119" s="608" t="s">
        <v>540</v>
      </c>
      <c r="F119" s="605">
        <f>15174.8</f>
        <v>15174.8</v>
      </c>
      <c r="G119" s="607"/>
      <c r="H119" s="607"/>
      <c r="I119" s="607"/>
      <c r="J119" s="607"/>
      <c r="K119" s="607"/>
      <c r="L119" s="607"/>
      <c r="M119" s="607"/>
      <c r="N119" s="607"/>
      <c r="O119" s="607"/>
      <c r="P119" s="607"/>
      <c r="Q119" s="607"/>
      <c r="R119" s="607"/>
      <c r="S119" s="607"/>
      <c r="T119" s="607"/>
      <c r="U119" s="607"/>
      <c r="V119" s="607"/>
      <c r="W119" s="605">
        <f t="shared" si="26"/>
        <v>15174.8</v>
      </c>
      <c r="X119" s="605">
        <f t="shared" si="27"/>
        <v>15174.8</v>
      </c>
      <c r="Y119" s="605">
        <f t="shared" si="27"/>
        <v>15174.8</v>
      </c>
      <c r="Z119" s="607"/>
      <c r="AA119" s="607"/>
      <c r="AB119" s="607"/>
      <c r="AC119" s="607"/>
      <c r="AJ119" s="482">
        <f t="shared" si="19"/>
        <v>15174.8</v>
      </c>
      <c r="AK119" s="482">
        <f t="shared" si="20"/>
        <v>0</v>
      </c>
    </row>
    <row r="120" spans="1:37">
      <c r="A120" s="478">
        <v>106</v>
      </c>
      <c r="B120" s="478" t="str">
        <f t="shared" si="32"/>
        <v>4422400</v>
      </c>
      <c r="C120" s="478">
        <v>2400</v>
      </c>
      <c r="D120" s="498" cm="1">
        <f t="array" ref="D120">INDEX('Form A Mapping'!C:C, MATCH(1, (C120 &gt;= 'Form A Mapping'!A:A) * (C120 &lt;= 'Form A Mapping'!B:B), 0))</f>
        <v>16</v>
      </c>
      <c r="E120" s="608" t="s">
        <v>279</v>
      </c>
      <c r="F120" s="605">
        <f>20825.14</f>
        <v>20825.14</v>
      </c>
      <c r="G120" s="607"/>
      <c r="H120" s="607"/>
      <c r="I120" s="607"/>
      <c r="J120" s="607"/>
      <c r="K120" s="607"/>
      <c r="L120" s="607"/>
      <c r="M120" s="607"/>
      <c r="N120" s="607"/>
      <c r="O120" s="607"/>
      <c r="P120" s="607"/>
      <c r="Q120" s="607"/>
      <c r="R120" s="607"/>
      <c r="S120" s="607"/>
      <c r="T120" s="607"/>
      <c r="U120" s="607"/>
      <c r="V120" s="607"/>
      <c r="W120" s="605">
        <f t="shared" si="26"/>
        <v>20825.14</v>
      </c>
      <c r="X120" s="605">
        <f t="shared" si="27"/>
        <v>20825.14</v>
      </c>
      <c r="Y120" s="605">
        <f t="shared" si="27"/>
        <v>20825.14</v>
      </c>
      <c r="Z120" s="607"/>
      <c r="AA120" s="607"/>
      <c r="AB120" s="607"/>
      <c r="AC120" s="607"/>
      <c r="AJ120" s="482">
        <f t="shared" si="19"/>
        <v>20825.14</v>
      </c>
      <c r="AK120" s="482">
        <f t="shared" si="20"/>
        <v>0</v>
      </c>
    </row>
    <row r="121" spans="1:37">
      <c r="E121" s="608" t="s">
        <v>541</v>
      </c>
      <c r="F121" s="606">
        <f t="shared" ref="F121:V121" si="33">((((((((((F110)+(F111))+(F112))+(F113))+(F114))+(F115))+(F116))+(F117))+(F118))+(F119))+(F120)</f>
        <v>195183.45</v>
      </c>
      <c r="G121" s="606">
        <f t="shared" si="33"/>
        <v>0</v>
      </c>
      <c r="H121" s="606">
        <f t="shared" si="33"/>
        <v>0</v>
      </c>
      <c r="I121" s="606">
        <f t="shared" si="33"/>
        <v>0</v>
      </c>
      <c r="J121" s="606">
        <f t="shared" si="33"/>
        <v>0</v>
      </c>
      <c r="K121" s="606">
        <f t="shared" si="33"/>
        <v>0</v>
      </c>
      <c r="L121" s="606">
        <f t="shared" si="33"/>
        <v>0</v>
      </c>
      <c r="M121" s="606">
        <f t="shared" si="33"/>
        <v>0</v>
      </c>
      <c r="N121" s="606">
        <f t="shared" si="33"/>
        <v>0</v>
      </c>
      <c r="O121" s="606">
        <f t="shared" si="33"/>
        <v>0</v>
      </c>
      <c r="P121" s="606">
        <f t="shared" si="33"/>
        <v>0</v>
      </c>
      <c r="Q121" s="606">
        <f t="shared" si="33"/>
        <v>0</v>
      </c>
      <c r="R121" s="606">
        <f t="shared" si="33"/>
        <v>0</v>
      </c>
      <c r="S121" s="606">
        <f t="shared" si="33"/>
        <v>0</v>
      </c>
      <c r="T121" s="606">
        <f t="shared" si="33"/>
        <v>0</v>
      </c>
      <c r="U121" s="606">
        <f t="shared" si="33"/>
        <v>0</v>
      </c>
      <c r="V121" s="606">
        <f t="shared" si="33"/>
        <v>0</v>
      </c>
      <c r="W121" s="606">
        <f t="shared" si="26"/>
        <v>195183.45</v>
      </c>
      <c r="X121" s="606">
        <f t="shared" si="27"/>
        <v>195183.45</v>
      </c>
      <c r="Y121" s="606">
        <f t="shared" si="27"/>
        <v>195183.45</v>
      </c>
      <c r="Z121" s="607"/>
      <c r="AA121" s="607"/>
      <c r="AB121" s="607"/>
      <c r="AC121" s="607"/>
      <c r="AJ121" s="482">
        <f t="shared" si="19"/>
        <v>195183.45</v>
      </c>
      <c r="AK121" s="482">
        <f t="shared" si="20"/>
        <v>0</v>
      </c>
    </row>
    <row r="122" spans="1:37">
      <c r="A122" s="478">
        <v>119</v>
      </c>
      <c r="B122" s="478" t="str">
        <f t="shared" ref="B122:B130" si="34">LEFT(TRIM(E122), 7)</f>
        <v>5000000</v>
      </c>
      <c r="C122" s="478">
        <v>0</v>
      </c>
      <c r="D122" s="498" cm="1">
        <f t="array" ref="D122">INDEX('Form A Mapping'!C:C, MATCH(1, (C122 &gt;= 'Form A Mapping'!A:A) * (C122 &lt;= 'Form A Mapping'!B:B), 0))</f>
        <v>0</v>
      </c>
      <c r="E122" s="608" t="s">
        <v>542</v>
      </c>
      <c r="F122" s="607"/>
      <c r="G122" s="607"/>
      <c r="H122" s="607"/>
      <c r="I122" s="607"/>
      <c r="J122" s="607"/>
      <c r="K122" s="607"/>
      <c r="L122" s="607"/>
      <c r="M122" s="607"/>
      <c r="N122" s="607"/>
      <c r="O122" s="607"/>
      <c r="P122" s="607"/>
      <c r="Q122" s="607"/>
      <c r="R122" s="607"/>
      <c r="S122" s="607"/>
      <c r="T122" s="607"/>
      <c r="U122" s="607"/>
      <c r="V122" s="607"/>
      <c r="W122" s="605">
        <f t="shared" si="26"/>
        <v>0</v>
      </c>
      <c r="X122" s="605">
        <f t="shared" si="27"/>
        <v>0</v>
      </c>
      <c r="Y122" s="605">
        <f t="shared" si="27"/>
        <v>0</v>
      </c>
      <c r="Z122" s="607"/>
      <c r="AA122" s="607"/>
      <c r="AB122" s="607"/>
      <c r="AC122" s="607"/>
      <c r="AJ122" s="482">
        <f t="shared" si="19"/>
        <v>0</v>
      </c>
      <c r="AK122" s="482">
        <f t="shared" si="20"/>
        <v>0</v>
      </c>
    </row>
    <row r="123" spans="1:37">
      <c r="A123" s="478">
        <v>111</v>
      </c>
      <c r="B123" s="478" t="str">
        <f t="shared" si="34"/>
        <v>5002720</v>
      </c>
      <c r="C123" s="478">
        <v>2720</v>
      </c>
      <c r="D123" s="498" cm="1">
        <f t="array" ref="D123">INDEX('Form A Mapping'!C:C, MATCH(1, (C123 &gt;= 'Form A Mapping'!A:A) * (C123 &lt;= 'Form A Mapping'!B:B), 0))</f>
        <v>19</v>
      </c>
      <c r="E123" s="608" t="s">
        <v>543</v>
      </c>
      <c r="F123" s="605">
        <f>94920.59</f>
        <v>94920.59</v>
      </c>
      <c r="G123" s="607"/>
      <c r="H123" s="607"/>
      <c r="I123" s="607"/>
      <c r="J123" s="607"/>
      <c r="K123" s="605">
        <f>174385.52</f>
        <v>174385.52</v>
      </c>
      <c r="L123" s="607"/>
      <c r="M123" s="607"/>
      <c r="N123" s="607"/>
      <c r="O123" s="607"/>
      <c r="P123" s="607"/>
      <c r="Q123" s="607"/>
      <c r="R123" s="607"/>
      <c r="S123" s="607"/>
      <c r="T123" s="607"/>
      <c r="U123" s="607"/>
      <c r="V123" s="607"/>
      <c r="W123" s="605">
        <f t="shared" si="26"/>
        <v>269306.11</v>
      </c>
      <c r="X123" s="605">
        <f t="shared" si="27"/>
        <v>269306.11</v>
      </c>
      <c r="Y123" s="605">
        <f t="shared" si="27"/>
        <v>269306.11</v>
      </c>
      <c r="Z123" s="607"/>
      <c r="AA123" s="607"/>
      <c r="AB123" s="607"/>
      <c r="AC123" s="607"/>
      <c r="AJ123" s="482">
        <f t="shared" si="19"/>
        <v>94920.59</v>
      </c>
      <c r="AK123" s="482">
        <f t="shared" si="20"/>
        <v>174385.52</v>
      </c>
    </row>
    <row r="124" spans="1:37">
      <c r="A124" s="478">
        <v>113</v>
      </c>
      <c r="B124" s="478" t="str">
        <f t="shared" si="34"/>
        <v>5212310</v>
      </c>
      <c r="C124" s="478">
        <v>2310</v>
      </c>
      <c r="D124" s="498" cm="1">
        <f t="array" ref="D124">INDEX('Form A Mapping'!C:C, MATCH(1, (C124 &gt;= 'Form A Mapping'!A:A) * (C124 &lt;= 'Form A Mapping'!B:B), 0))</f>
        <v>15</v>
      </c>
      <c r="E124" s="608" t="s">
        <v>544</v>
      </c>
      <c r="F124" s="605">
        <f>34081.26</f>
        <v>34081.26</v>
      </c>
      <c r="G124" s="607"/>
      <c r="H124" s="607"/>
      <c r="I124" s="607"/>
      <c r="J124" s="607"/>
      <c r="K124" s="607"/>
      <c r="L124" s="607"/>
      <c r="M124" s="607"/>
      <c r="N124" s="607"/>
      <c r="O124" s="607"/>
      <c r="P124" s="607"/>
      <c r="Q124" s="607"/>
      <c r="R124" s="607"/>
      <c r="S124" s="607"/>
      <c r="T124" s="607"/>
      <c r="U124" s="607"/>
      <c r="V124" s="607"/>
      <c r="W124" s="605">
        <f t="shared" si="26"/>
        <v>34081.26</v>
      </c>
      <c r="X124" s="605">
        <f t="shared" si="27"/>
        <v>34081.26</v>
      </c>
      <c r="Y124" s="605">
        <f t="shared" si="27"/>
        <v>34081.26</v>
      </c>
      <c r="Z124" s="607"/>
      <c r="AA124" s="607"/>
      <c r="AB124" s="607"/>
      <c r="AC124" s="607"/>
      <c r="AJ124" s="482">
        <f t="shared" si="19"/>
        <v>34081.26</v>
      </c>
      <c r="AK124" s="482">
        <f t="shared" si="20"/>
        <v>0</v>
      </c>
    </row>
    <row r="125" spans="1:37">
      <c r="A125" s="478">
        <v>112</v>
      </c>
      <c r="B125" s="478" t="str">
        <f t="shared" si="34"/>
        <v>5222620</v>
      </c>
      <c r="C125" s="478">
        <v>2620</v>
      </c>
      <c r="D125" s="498" cm="1">
        <f t="array" ref="D125">INDEX('Form A Mapping'!C:C, MATCH(1, (C125 &gt;= 'Form A Mapping'!A:A) * (C125 &lt;= 'Form A Mapping'!B:B), 0))</f>
        <v>18</v>
      </c>
      <c r="E125" s="608" t="s">
        <v>280</v>
      </c>
      <c r="F125" s="605">
        <f>13868.39</f>
        <v>13868.39</v>
      </c>
      <c r="G125" s="607"/>
      <c r="H125" s="607"/>
      <c r="I125" s="607"/>
      <c r="J125" s="607"/>
      <c r="K125" s="607"/>
      <c r="L125" s="607"/>
      <c r="M125" s="607"/>
      <c r="N125" s="607"/>
      <c r="O125" s="607"/>
      <c r="P125" s="607"/>
      <c r="Q125" s="607"/>
      <c r="R125" s="607"/>
      <c r="S125" s="607"/>
      <c r="T125" s="607"/>
      <c r="U125" s="607"/>
      <c r="V125" s="607"/>
      <c r="W125" s="605">
        <f t="shared" si="26"/>
        <v>13868.39</v>
      </c>
      <c r="X125" s="605">
        <f t="shared" si="27"/>
        <v>13868.39</v>
      </c>
      <c r="Y125" s="605">
        <f t="shared" si="27"/>
        <v>13868.39</v>
      </c>
      <c r="Z125" s="607"/>
      <c r="AA125" s="607"/>
      <c r="AB125" s="607"/>
      <c r="AC125" s="607"/>
      <c r="AJ125" s="482">
        <f t="shared" si="19"/>
        <v>13868.39</v>
      </c>
      <c r="AK125" s="482">
        <f t="shared" si="20"/>
        <v>0</v>
      </c>
    </row>
    <row r="126" spans="1:37">
      <c r="A126" s="478">
        <v>119</v>
      </c>
      <c r="B126" s="478" t="str">
        <f t="shared" si="34"/>
        <v>5301100</v>
      </c>
      <c r="C126" s="478">
        <v>1100</v>
      </c>
      <c r="D126" s="498" cm="1">
        <f t="array" ref="D126">INDEX('Form A Mapping'!C:C, MATCH(1, (C126 &gt;= 'Form A Mapping'!A:A) * (C126 &lt;= 'Form A Mapping'!B:B), 0))</f>
        <v>7</v>
      </c>
      <c r="E126" s="608" t="s">
        <v>545</v>
      </c>
      <c r="F126" s="605">
        <f>34770.95</f>
        <v>34770.949999999997</v>
      </c>
      <c r="G126" s="607"/>
      <c r="H126" s="607"/>
      <c r="I126" s="607"/>
      <c r="J126" s="607"/>
      <c r="K126" s="607"/>
      <c r="L126" s="607"/>
      <c r="M126" s="607"/>
      <c r="N126" s="607"/>
      <c r="O126" s="607"/>
      <c r="P126" s="607"/>
      <c r="Q126" s="607"/>
      <c r="R126" s="607"/>
      <c r="S126" s="607"/>
      <c r="T126" s="607"/>
      <c r="U126" s="607"/>
      <c r="V126" s="607"/>
      <c r="W126" s="605">
        <f t="shared" si="26"/>
        <v>34770.949999999997</v>
      </c>
      <c r="X126" s="605">
        <f t="shared" si="27"/>
        <v>34770.949999999997</v>
      </c>
      <c r="Y126" s="605">
        <f t="shared" si="27"/>
        <v>34770.949999999997</v>
      </c>
      <c r="Z126" s="607"/>
      <c r="AA126" s="607"/>
      <c r="AB126" s="607"/>
      <c r="AC126" s="607"/>
      <c r="AJ126" s="482">
        <f t="shared" si="19"/>
        <v>34770.949999999997</v>
      </c>
      <c r="AK126" s="482">
        <f t="shared" si="20"/>
        <v>0</v>
      </c>
    </row>
    <row r="127" spans="1:37">
      <c r="A127" s="478">
        <v>119</v>
      </c>
      <c r="B127" s="478" t="str">
        <f t="shared" si="34"/>
        <v>5302400</v>
      </c>
      <c r="C127" s="478">
        <v>2400</v>
      </c>
      <c r="D127" s="498" cm="1">
        <f t="array" ref="D127">INDEX('Form A Mapping'!C:C, MATCH(1, (C127 &gt;= 'Form A Mapping'!A:A) * (C127 &lt;= 'Form A Mapping'!B:B), 0))</f>
        <v>16</v>
      </c>
      <c r="E127" s="608" t="s">
        <v>546</v>
      </c>
      <c r="F127" s="605">
        <f>19923.5</f>
        <v>19923.5</v>
      </c>
      <c r="G127" s="605">
        <f>7524.37</f>
        <v>7524.37</v>
      </c>
      <c r="H127" s="607"/>
      <c r="I127" s="607"/>
      <c r="J127" s="607"/>
      <c r="K127" s="607"/>
      <c r="L127" s="607"/>
      <c r="M127" s="607"/>
      <c r="N127" s="607"/>
      <c r="O127" s="607"/>
      <c r="P127" s="607"/>
      <c r="Q127" s="607"/>
      <c r="R127" s="607"/>
      <c r="S127" s="607"/>
      <c r="T127" s="607"/>
      <c r="U127" s="607"/>
      <c r="V127" s="607"/>
      <c r="W127" s="605">
        <f t="shared" si="26"/>
        <v>27447.87</v>
      </c>
      <c r="X127" s="605">
        <f t="shared" si="27"/>
        <v>27447.87</v>
      </c>
      <c r="Y127" s="605">
        <f t="shared" si="27"/>
        <v>27447.87</v>
      </c>
      <c r="AJ127" s="482">
        <f t="shared" si="19"/>
        <v>27447.87</v>
      </c>
      <c r="AK127" s="482">
        <f t="shared" si="20"/>
        <v>0</v>
      </c>
    </row>
    <row r="128" spans="1:37">
      <c r="A128" s="478">
        <v>119</v>
      </c>
      <c r="B128" s="478" t="str">
        <f t="shared" si="34"/>
        <v>5402310</v>
      </c>
      <c r="C128" s="478">
        <v>2310</v>
      </c>
      <c r="D128" s="498" cm="1">
        <f t="array" ref="D128">INDEX('Form A Mapping'!C:C, MATCH(1, (C128 &gt;= 'Form A Mapping'!A:A) * (C128 &lt;= 'Form A Mapping'!B:B), 0))</f>
        <v>15</v>
      </c>
      <c r="E128" s="608" t="s">
        <v>273</v>
      </c>
      <c r="F128" s="605">
        <f>5839.33</f>
        <v>5839.33</v>
      </c>
      <c r="G128" s="607"/>
      <c r="H128" s="607"/>
      <c r="I128" s="607"/>
      <c r="J128" s="607"/>
      <c r="K128" s="607"/>
      <c r="L128" s="607"/>
      <c r="M128" s="607"/>
      <c r="N128" s="607"/>
      <c r="O128" s="607"/>
      <c r="P128" s="607"/>
      <c r="Q128" s="607"/>
      <c r="R128" s="607"/>
      <c r="S128" s="607"/>
      <c r="T128" s="607"/>
      <c r="U128" s="607"/>
      <c r="V128" s="607"/>
      <c r="W128" s="605">
        <f t="shared" si="26"/>
        <v>5839.33</v>
      </c>
      <c r="X128" s="605">
        <f t="shared" si="27"/>
        <v>5839.33</v>
      </c>
      <c r="Y128" s="605">
        <f t="shared" si="27"/>
        <v>5839.33</v>
      </c>
      <c r="AJ128" s="482">
        <f t="shared" si="19"/>
        <v>5839.33</v>
      </c>
      <c r="AK128" s="482">
        <f t="shared" si="20"/>
        <v>0</v>
      </c>
    </row>
    <row r="129" spans="1:37">
      <c r="A129" s="478">
        <v>117</v>
      </c>
      <c r="B129" s="478" t="str">
        <f t="shared" si="34"/>
        <v>5703100</v>
      </c>
      <c r="C129" s="478">
        <v>3100</v>
      </c>
      <c r="D129" s="498" cm="1">
        <f t="array" ref="D129">INDEX('Form A Mapping'!C:C, MATCH(1, (C129 &gt;= 'Form A Mapping'!A:A) * (C129 &lt;= 'Form A Mapping'!B:B), 0))</f>
        <v>21</v>
      </c>
      <c r="E129" s="608" t="s">
        <v>547</v>
      </c>
      <c r="F129" s="605"/>
      <c r="G129" s="607"/>
      <c r="H129" s="607"/>
      <c r="I129" s="607"/>
      <c r="J129" s="607"/>
      <c r="K129" s="607"/>
      <c r="L129" s="607"/>
      <c r="M129" s="605">
        <v>144882.23999999999</v>
      </c>
      <c r="N129" s="607"/>
      <c r="O129" s="607"/>
      <c r="P129" s="607"/>
      <c r="Q129" s="607"/>
      <c r="R129" s="607"/>
      <c r="S129" s="607"/>
      <c r="T129" s="607"/>
      <c r="U129" s="607"/>
      <c r="V129" s="607"/>
      <c r="W129" s="605">
        <f t="shared" si="26"/>
        <v>144882.23999999999</v>
      </c>
      <c r="X129" s="605">
        <f t="shared" si="27"/>
        <v>144882.23999999999</v>
      </c>
      <c r="Y129" s="605">
        <f t="shared" si="27"/>
        <v>144882.23999999999</v>
      </c>
      <c r="AJ129" s="482">
        <f t="shared" si="19"/>
        <v>0</v>
      </c>
      <c r="AK129" s="482">
        <f t="shared" si="20"/>
        <v>144882.23999999999</v>
      </c>
    </row>
    <row r="130" spans="1:37">
      <c r="A130" s="478">
        <v>118</v>
      </c>
      <c r="B130" s="478" t="str">
        <f t="shared" si="34"/>
        <v>5822400</v>
      </c>
      <c r="C130" s="478">
        <v>2400</v>
      </c>
      <c r="D130" s="498" cm="1">
        <f t="array" ref="D130">INDEX('Form A Mapping'!C:C, MATCH(1, (C130 &gt;= 'Form A Mapping'!A:A) * (C130 &lt;= 'Form A Mapping'!B:B), 0))</f>
        <v>16</v>
      </c>
      <c r="E130" s="608" t="s">
        <v>548</v>
      </c>
      <c r="F130" s="605">
        <f>345.33</f>
        <v>345.33</v>
      </c>
      <c r="G130" s="607"/>
      <c r="H130" s="607"/>
      <c r="I130" s="607"/>
      <c r="J130" s="607"/>
      <c r="K130" s="607"/>
      <c r="L130" s="607"/>
      <c r="M130" s="607"/>
      <c r="N130" s="607"/>
      <c r="O130" s="607"/>
      <c r="P130" s="607"/>
      <c r="Q130" s="607"/>
      <c r="R130" s="607"/>
      <c r="S130" s="607"/>
      <c r="T130" s="607"/>
      <c r="U130" s="607"/>
      <c r="V130" s="607"/>
      <c r="W130" s="605">
        <f t="shared" si="26"/>
        <v>345.33</v>
      </c>
      <c r="X130" s="605">
        <f t="shared" si="27"/>
        <v>345.33</v>
      </c>
      <c r="Y130" s="605">
        <f t="shared" si="27"/>
        <v>345.33</v>
      </c>
      <c r="AJ130" s="482">
        <f t="shared" si="19"/>
        <v>345.33</v>
      </c>
      <c r="AK130" s="482">
        <f t="shared" si="20"/>
        <v>0</v>
      </c>
    </row>
    <row r="131" spans="1:37">
      <c r="E131" s="608" t="s">
        <v>549</v>
      </c>
      <c r="F131" s="606">
        <f t="shared" ref="F131:V131" si="35">((((((((F122)+(F123))+(F124))+(F125))+(F126))+(F127))+(F128))+(F129))+(F130)</f>
        <v>203749.34999999998</v>
      </c>
      <c r="G131" s="606">
        <f t="shared" si="35"/>
        <v>7524.37</v>
      </c>
      <c r="H131" s="606">
        <f t="shared" si="35"/>
        <v>0</v>
      </c>
      <c r="I131" s="606">
        <f t="shared" si="35"/>
        <v>0</v>
      </c>
      <c r="J131" s="606">
        <f t="shared" si="35"/>
        <v>0</v>
      </c>
      <c r="K131" s="606">
        <f t="shared" si="35"/>
        <v>174385.52</v>
      </c>
      <c r="L131" s="606">
        <f t="shared" si="35"/>
        <v>0</v>
      </c>
      <c r="M131" s="606">
        <f t="shared" si="35"/>
        <v>144882.23999999999</v>
      </c>
      <c r="N131" s="606">
        <f t="shared" si="35"/>
        <v>0</v>
      </c>
      <c r="O131" s="606">
        <f t="shared" si="35"/>
        <v>0</v>
      </c>
      <c r="P131" s="606">
        <f t="shared" si="35"/>
        <v>0</v>
      </c>
      <c r="Q131" s="606">
        <f t="shared" si="35"/>
        <v>0</v>
      </c>
      <c r="R131" s="606">
        <f t="shared" si="35"/>
        <v>0</v>
      </c>
      <c r="S131" s="606">
        <f t="shared" si="35"/>
        <v>0</v>
      </c>
      <c r="T131" s="606">
        <f t="shared" si="35"/>
        <v>0</v>
      </c>
      <c r="U131" s="606">
        <f t="shared" si="35"/>
        <v>0</v>
      </c>
      <c r="V131" s="606">
        <f t="shared" si="35"/>
        <v>0</v>
      </c>
      <c r="W131" s="606">
        <f t="shared" si="26"/>
        <v>530541.48</v>
      </c>
      <c r="X131" s="606">
        <f t="shared" si="27"/>
        <v>530541.48</v>
      </c>
      <c r="Y131" s="606">
        <f t="shared" si="27"/>
        <v>530541.48</v>
      </c>
      <c r="AJ131" s="482">
        <f t="shared" ref="AJ131:AJ156" si="36">Y131-AK131</f>
        <v>211273.71999999997</v>
      </c>
      <c r="AK131" s="482">
        <f t="shared" ref="AK131:AK153" si="37">H131+I131+J131+K131+L131+M131+N131+O131+R131+S131+T131+U131+V131</f>
        <v>319267.76</v>
      </c>
    </row>
    <row r="132" spans="1:37">
      <c r="A132" s="478">
        <v>122</v>
      </c>
      <c r="B132" s="478" t="str">
        <f t="shared" ref="B132:B142" si="38">LEFT(TRIM(E132), 7)</f>
        <v>6000000</v>
      </c>
      <c r="C132" s="478">
        <v>0</v>
      </c>
      <c r="D132" s="498" cm="1">
        <f t="array" ref="D132">INDEX('Form A Mapping'!C:C, MATCH(1, (C132 &gt;= 'Form A Mapping'!A:A) * (C132 &lt;= 'Form A Mapping'!B:B), 0))</f>
        <v>0</v>
      </c>
      <c r="E132" s="608" t="s">
        <v>274</v>
      </c>
      <c r="F132" s="607"/>
      <c r="G132" s="607"/>
      <c r="H132" s="607"/>
      <c r="I132" s="607"/>
      <c r="J132" s="607"/>
      <c r="K132" s="607"/>
      <c r="L132" s="607"/>
      <c r="M132" s="607"/>
      <c r="N132" s="607"/>
      <c r="O132" s="607"/>
      <c r="P132" s="607"/>
      <c r="Q132" s="607"/>
      <c r="R132" s="607"/>
      <c r="S132" s="607"/>
      <c r="T132" s="607"/>
      <c r="U132" s="607"/>
      <c r="V132" s="607"/>
      <c r="W132" s="605">
        <f t="shared" si="26"/>
        <v>0</v>
      </c>
      <c r="X132" s="605">
        <f t="shared" si="27"/>
        <v>0</v>
      </c>
      <c r="Y132" s="605">
        <f t="shared" si="27"/>
        <v>0</v>
      </c>
      <c r="AJ132" s="482">
        <f t="shared" si="36"/>
        <v>0</v>
      </c>
      <c r="AK132" s="482">
        <f t="shared" si="37"/>
        <v>0</v>
      </c>
    </row>
    <row r="133" spans="1:37">
      <c r="A133" s="478">
        <v>122</v>
      </c>
      <c r="B133" s="478" t="str">
        <f t="shared" si="38"/>
        <v>6101100</v>
      </c>
      <c r="C133" s="478">
        <v>1100</v>
      </c>
      <c r="D133" s="498" cm="1">
        <f t="array" ref="D133">INDEX('Form A Mapping'!C:C, MATCH(1, (C133 &gt;= 'Form A Mapping'!A:A) * (C133 &lt;= 'Form A Mapping'!B:B), 0))</f>
        <v>7</v>
      </c>
      <c r="E133" s="608" t="s">
        <v>550</v>
      </c>
      <c r="F133" s="605">
        <f>46089.6</f>
        <v>46089.599999999999</v>
      </c>
      <c r="G133" s="607"/>
      <c r="H133" s="607"/>
      <c r="I133" s="607"/>
      <c r="J133" s="607"/>
      <c r="K133" s="607"/>
      <c r="L133" s="607"/>
      <c r="M133" s="607"/>
      <c r="N133" s="607"/>
      <c r="O133" s="607"/>
      <c r="P133" s="607"/>
      <c r="Q133" s="607"/>
      <c r="R133" s="607"/>
      <c r="S133" s="607"/>
      <c r="T133" s="607"/>
      <c r="U133" s="607"/>
      <c r="V133" s="607"/>
      <c r="W133" s="605">
        <f t="shared" si="26"/>
        <v>46089.599999999999</v>
      </c>
      <c r="X133" s="605">
        <f t="shared" si="27"/>
        <v>46089.599999999999</v>
      </c>
      <c r="Y133" s="605">
        <f t="shared" si="27"/>
        <v>46089.599999999999</v>
      </c>
      <c r="AJ133" s="482">
        <f t="shared" si="36"/>
        <v>46089.599999999999</v>
      </c>
      <c r="AK133" s="482">
        <f t="shared" si="37"/>
        <v>0</v>
      </c>
    </row>
    <row r="134" spans="1:37">
      <c r="A134" s="478">
        <v>122</v>
      </c>
      <c r="B134" s="478" t="str">
        <f t="shared" si="38"/>
        <v>6101210</v>
      </c>
      <c r="C134" s="478">
        <v>1210</v>
      </c>
      <c r="D134" s="498" cm="1">
        <f t="array" ref="D134">INDEX('Form A Mapping'!C:C, MATCH(1, (C134 &gt;= 'Form A Mapping'!A:A) * (C134 &lt;= 'Form A Mapping'!B:B), 0))</f>
        <v>8</v>
      </c>
      <c r="E134" s="608" t="s">
        <v>551</v>
      </c>
      <c r="F134" s="605">
        <f>278.55</f>
        <v>278.55</v>
      </c>
      <c r="G134" s="607"/>
      <c r="H134" s="607"/>
      <c r="I134" s="607"/>
      <c r="J134" s="607"/>
      <c r="K134" s="607"/>
      <c r="L134" s="607"/>
      <c r="M134" s="607"/>
      <c r="N134" s="607"/>
      <c r="O134" s="607"/>
      <c r="P134" s="607"/>
      <c r="Q134" s="607"/>
      <c r="R134" s="607"/>
      <c r="S134" s="607"/>
      <c r="T134" s="607"/>
      <c r="U134" s="607"/>
      <c r="V134" s="607"/>
      <c r="W134" s="605">
        <f t="shared" si="26"/>
        <v>278.55</v>
      </c>
      <c r="X134" s="605">
        <f t="shared" si="27"/>
        <v>278.55</v>
      </c>
      <c r="Y134" s="605">
        <f t="shared" si="27"/>
        <v>278.55</v>
      </c>
      <c r="AJ134" s="482">
        <f t="shared" si="36"/>
        <v>278.55</v>
      </c>
      <c r="AK134" s="482">
        <f t="shared" si="37"/>
        <v>0</v>
      </c>
    </row>
    <row r="135" spans="1:37">
      <c r="A135" s="478">
        <v>122</v>
      </c>
      <c r="B135" s="478" t="str">
        <f t="shared" si="38"/>
        <v>6102211</v>
      </c>
      <c r="C135" s="478">
        <v>2211</v>
      </c>
      <c r="D135" s="498" cm="1">
        <f t="array" ref="D135">INDEX('Form A Mapping'!C:C, MATCH(1, (C135 &gt;= 'Form A Mapping'!A:A) * (C135 &lt;= 'Form A Mapping'!B:B), 0))</f>
        <v>14</v>
      </c>
      <c r="E135" s="608" t="s">
        <v>552</v>
      </c>
      <c r="F135" s="605">
        <f>15502.68</f>
        <v>15502.68</v>
      </c>
      <c r="G135" s="607"/>
      <c r="H135" s="607"/>
      <c r="I135" s="607"/>
      <c r="J135" s="607"/>
      <c r="K135" s="607"/>
      <c r="L135" s="607"/>
      <c r="M135" s="607"/>
      <c r="N135" s="607"/>
      <c r="O135" s="607"/>
      <c r="P135" s="607"/>
      <c r="Q135" s="607"/>
      <c r="R135" s="607"/>
      <c r="S135" s="607"/>
      <c r="T135" s="607"/>
      <c r="U135" s="607"/>
      <c r="V135" s="607"/>
      <c r="W135" s="605">
        <f t="shared" si="26"/>
        <v>15502.68</v>
      </c>
      <c r="X135" s="605">
        <f t="shared" si="27"/>
        <v>15502.68</v>
      </c>
      <c r="Y135" s="605">
        <f t="shared" si="27"/>
        <v>15502.68</v>
      </c>
      <c r="AJ135" s="482">
        <f t="shared" si="36"/>
        <v>15502.68</v>
      </c>
      <c r="AK135" s="482">
        <f t="shared" si="37"/>
        <v>0</v>
      </c>
    </row>
    <row r="136" spans="1:37">
      <c r="A136" s="478">
        <v>122</v>
      </c>
      <c r="B136" s="478" t="str">
        <f t="shared" si="38"/>
        <v>6102400</v>
      </c>
      <c r="C136" s="478">
        <v>2400</v>
      </c>
      <c r="D136" s="498" cm="1">
        <f t="array" ref="D136">INDEX('Form A Mapping'!C:C, MATCH(1, (C136 &gt;= 'Form A Mapping'!A:A) * (C136 &lt;= 'Form A Mapping'!B:B), 0))</f>
        <v>16</v>
      </c>
      <c r="E136" s="608" t="s">
        <v>553</v>
      </c>
      <c r="F136" s="605">
        <f>13055.72</f>
        <v>13055.72</v>
      </c>
      <c r="G136" s="607"/>
      <c r="H136" s="607"/>
      <c r="I136" s="607"/>
      <c r="J136" s="607"/>
      <c r="K136" s="607"/>
      <c r="L136" s="607"/>
      <c r="M136" s="607"/>
      <c r="N136" s="607"/>
      <c r="O136" s="607"/>
      <c r="P136" s="607"/>
      <c r="Q136" s="607"/>
      <c r="R136" s="607"/>
      <c r="S136" s="607"/>
      <c r="T136" s="607"/>
      <c r="U136" s="607"/>
      <c r="V136" s="607"/>
      <c r="W136" s="605">
        <f t="shared" si="26"/>
        <v>13055.72</v>
      </c>
      <c r="X136" s="605">
        <f t="shared" si="27"/>
        <v>13055.72</v>
      </c>
      <c r="Y136" s="605">
        <f t="shared" si="27"/>
        <v>13055.72</v>
      </c>
      <c r="AJ136" s="482">
        <f t="shared" si="36"/>
        <v>13055.72</v>
      </c>
      <c r="AK136" s="482">
        <f t="shared" si="37"/>
        <v>0</v>
      </c>
    </row>
    <row r="137" spans="1:37">
      <c r="A137" s="478">
        <v>122</v>
      </c>
      <c r="B137" s="478" t="str">
        <f t="shared" si="38"/>
        <v>6102620</v>
      </c>
      <c r="C137" s="478">
        <v>2620</v>
      </c>
      <c r="D137" s="498" cm="1">
        <f t="array" ref="D137">INDEX('Form A Mapping'!C:C, MATCH(1, (C137 &gt;= 'Form A Mapping'!A:A) * (C137 &lt;= 'Form A Mapping'!B:B), 0))</f>
        <v>18</v>
      </c>
      <c r="E137" s="608" t="s">
        <v>554</v>
      </c>
      <c r="F137" s="605">
        <f>15784.35</f>
        <v>15784.35</v>
      </c>
      <c r="G137" s="607"/>
      <c r="H137" s="607"/>
      <c r="I137" s="607"/>
      <c r="J137" s="607"/>
      <c r="K137" s="607"/>
      <c r="L137" s="607"/>
      <c r="M137" s="607"/>
      <c r="N137" s="607"/>
      <c r="O137" s="607"/>
      <c r="P137" s="607"/>
      <c r="Q137" s="607"/>
      <c r="R137" s="607"/>
      <c r="S137" s="607"/>
      <c r="T137" s="607"/>
      <c r="U137" s="607"/>
      <c r="V137" s="607"/>
      <c r="W137" s="605">
        <f t="shared" si="26"/>
        <v>15784.35</v>
      </c>
      <c r="X137" s="605">
        <f t="shared" si="27"/>
        <v>15784.35</v>
      </c>
      <c r="Y137" s="605">
        <f t="shared" si="27"/>
        <v>15784.35</v>
      </c>
      <c r="AJ137" s="482">
        <f t="shared" si="36"/>
        <v>15784.35</v>
      </c>
      <c r="AK137" s="482">
        <f t="shared" si="37"/>
        <v>0</v>
      </c>
    </row>
    <row r="138" spans="1:37">
      <c r="A138" s="478">
        <v>126</v>
      </c>
      <c r="B138" s="478" t="str">
        <f t="shared" si="38"/>
        <v>6151100</v>
      </c>
      <c r="C138" s="478">
        <v>1100</v>
      </c>
      <c r="D138" s="498" cm="1">
        <f t="array" ref="D138">INDEX('Form A Mapping'!C:C, MATCH(1, (C138 &gt;= 'Form A Mapping'!A:A) * (C138 &lt;= 'Form A Mapping'!B:B), 0))</f>
        <v>7</v>
      </c>
      <c r="E138" s="608" t="s">
        <v>555</v>
      </c>
      <c r="F138" s="605">
        <f>1679.14</f>
        <v>1679.14</v>
      </c>
      <c r="G138" s="607"/>
      <c r="H138" s="607"/>
      <c r="I138" s="607"/>
      <c r="J138" s="607"/>
      <c r="K138" s="607"/>
      <c r="L138" s="607"/>
      <c r="M138" s="607"/>
      <c r="N138" s="607"/>
      <c r="O138" s="607"/>
      <c r="P138" s="607"/>
      <c r="Q138" s="607"/>
      <c r="R138" s="607"/>
      <c r="S138" s="607"/>
      <c r="T138" s="607"/>
      <c r="U138" s="607"/>
      <c r="V138" s="607"/>
      <c r="W138" s="605">
        <f t="shared" si="26"/>
        <v>1679.14</v>
      </c>
      <c r="X138" s="605">
        <f t="shared" si="27"/>
        <v>1679.14</v>
      </c>
      <c r="Y138" s="605">
        <f t="shared" si="27"/>
        <v>1679.14</v>
      </c>
      <c r="AJ138" s="482">
        <f t="shared" si="36"/>
        <v>1679.14</v>
      </c>
      <c r="AK138" s="482">
        <f t="shared" si="37"/>
        <v>0</v>
      </c>
    </row>
    <row r="139" spans="1:37">
      <c r="A139" s="478">
        <v>126</v>
      </c>
      <c r="B139" s="478" t="str">
        <f t="shared" si="38"/>
        <v>6152220</v>
      </c>
      <c r="C139" s="478">
        <v>2220</v>
      </c>
      <c r="D139" s="498" cm="1">
        <f t="array" ref="D139">INDEX('Form A Mapping'!C:C, MATCH(1, (C139 &gt;= 'Form A Mapping'!A:A) * (C139 &lt;= 'Form A Mapping'!B:B), 0))</f>
        <v>14</v>
      </c>
      <c r="E139" s="608" t="s">
        <v>736</v>
      </c>
      <c r="F139" s="605">
        <f>439.56</f>
        <v>439.56</v>
      </c>
      <c r="G139" s="607"/>
      <c r="H139" s="607"/>
      <c r="I139" s="607"/>
      <c r="J139" s="607"/>
      <c r="K139" s="607"/>
      <c r="L139" s="607"/>
      <c r="M139" s="607"/>
      <c r="N139" s="607"/>
      <c r="O139" s="607"/>
      <c r="P139" s="607"/>
      <c r="Q139" s="607"/>
      <c r="R139" s="607"/>
      <c r="S139" s="607"/>
      <c r="T139" s="607"/>
      <c r="U139" s="607"/>
      <c r="V139" s="607"/>
      <c r="W139" s="605">
        <f t="shared" si="26"/>
        <v>439.56</v>
      </c>
      <c r="X139" s="605">
        <f t="shared" si="27"/>
        <v>439.56</v>
      </c>
      <c r="Y139" s="605">
        <f t="shared" si="27"/>
        <v>439.56</v>
      </c>
      <c r="AJ139" s="482">
        <f t="shared" si="36"/>
        <v>439.56</v>
      </c>
      <c r="AK139" s="482">
        <f t="shared" si="37"/>
        <v>0</v>
      </c>
    </row>
    <row r="140" spans="1:37">
      <c r="A140" s="478">
        <v>126</v>
      </c>
      <c r="B140" s="478" t="str">
        <f t="shared" si="38"/>
        <v>6152400</v>
      </c>
      <c r="C140" s="478">
        <v>2400</v>
      </c>
      <c r="D140" s="498" cm="1">
        <f t="array" ref="D140">INDEX('Form A Mapping'!C:C, MATCH(1, (C140 &gt;= 'Form A Mapping'!A:A) * (C140 &lt;= 'Form A Mapping'!B:B), 0))</f>
        <v>16</v>
      </c>
      <c r="E140" s="608" t="s">
        <v>556</v>
      </c>
      <c r="F140" s="605">
        <f>893.48</f>
        <v>893.48</v>
      </c>
      <c r="G140" s="607"/>
      <c r="H140" s="607"/>
      <c r="I140" s="607"/>
      <c r="J140" s="607"/>
      <c r="K140" s="607"/>
      <c r="L140" s="607"/>
      <c r="M140" s="607"/>
      <c r="N140" s="607"/>
      <c r="O140" s="607"/>
      <c r="P140" s="607"/>
      <c r="Q140" s="607"/>
      <c r="R140" s="607"/>
      <c r="S140" s="607"/>
      <c r="T140" s="607"/>
      <c r="U140" s="607"/>
      <c r="V140" s="607"/>
      <c r="W140" s="605">
        <f t="shared" si="26"/>
        <v>893.48</v>
      </c>
      <c r="X140" s="605">
        <f t="shared" si="27"/>
        <v>893.48</v>
      </c>
      <c r="Y140" s="605">
        <f t="shared" si="27"/>
        <v>893.48</v>
      </c>
      <c r="AJ140" s="482">
        <f t="shared" si="36"/>
        <v>893.48</v>
      </c>
      <c r="AK140" s="482">
        <f t="shared" si="37"/>
        <v>0</v>
      </c>
    </row>
    <row r="141" spans="1:37">
      <c r="A141" s="478">
        <v>123</v>
      </c>
      <c r="B141" s="478" t="str">
        <f t="shared" si="38"/>
        <v>6222620</v>
      </c>
      <c r="C141" s="478">
        <v>2620</v>
      </c>
      <c r="D141" s="498" cm="1">
        <f t="array" ref="D141">INDEX('Form A Mapping'!C:C, MATCH(1, (C141 &gt;= 'Form A Mapping'!A:A) * (C141 &lt;= 'Form A Mapping'!B:B), 0))</f>
        <v>18</v>
      </c>
      <c r="E141" s="608" t="s">
        <v>557</v>
      </c>
      <c r="F141" s="605">
        <v>314.97000000000003</v>
      </c>
      <c r="G141" s="607"/>
      <c r="H141" s="607"/>
      <c r="I141" s="607"/>
      <c r="J141" s="607"/>
      <c r="K141" s="607"/>
      <c r="L141" s="607"/>
      <c r="M141" s="607">
        <v>35885.449999999997</v>
      </c>
      <c r="N141" s="607"/>
      <c r="O141" s="607"/>
      <c r="P141" s="607"/>
      <c r="Q141" s="607"/>
      <c r="R141" s="607"/>
      <c r="S141" s="607"/>
      <c r="T141" s="607"/>
      <c r="U141" s="607"/>
      <c r="V141" s="607"/>
      <c r="W141" s="605">
        <f t="shared" si="26"/>
        <v>36200.42</v>
      </c>
      <c r="X141" s="605">
        <f t="shared" si="27"/>
        <v>36200.42</v>
      </c>
      <c r="Y141" s="605">
        <f t="shared" si="27"/>
        <v>36200.42</v>
      </c>
      <c r="AJ141" s="482">
        <f t="shared" si="36"/>
        <v>314.97000000000116</v>
      </c>
      <c r="AK141" s="482">
        <f t="shared" si="37"/>
        <v>35885.449999999997</v>
      </c>
    </row>
    <row r="142" spans="1:37">
      <c r="A142" s="478">
        <v>125</v>
      </c>
      <c r="B142" s="478" t="str">
        <f t="shared" si="38"/>
        <v>6421100</v>
      </c>
      <c r="C142" s="478">
        <v>1100</v>
      </c>
      <c r="D142" s="498" cm="1">
        <f t="array" ref="D142">INDEX('Form A Mapping'!C:C, MATCH(1, (C142 &gt;= 'Form A Mapping'!A:A) * (C142 &lt;= 'Form A Mapping'!B:B), 0))</f>
        <v>7</v>
      </c>
      <c r="E142" s="608" t="s">
        <v>558</v>
      </c>
      <c r="F142" s="605">
        <f>5433.2</f>
        <v>5433.2</v>
      </c>
      <c r="G142" s="607"/>
      <c r="H142" s="607"/>
      <c r="I142" s="607"/>
      <c r="J142" s="607"/>
      <c r="K142" s="607"/>
      <c r="L142" s="607"/>
      <c r="M142" s="607"/>
      <c r="N142" s="607"/>
      <c r="O142" s="607"/>
      <c r="P142" s="607"/>
      <c r="Q142" s="607"/>
      <c r="R142" s="607"/>
      <c r="S142" s="607"/>
      <c r="T142" s="607"/>
      <c r="U142" s="607"/>
      <c r="V142" s="607"/>
      <c r="W142" s="605">
        <f t="shared" si="26"/>
        <v>5433.2</v>
      </c>
      <c r="X142" s="605">
        <f t="shared" si="27"/>
        <v>5433.2</v>
      </c>
      <c r="Y142" s="605">
        <f t="shared" si="27"/>
        <v>5433.2</v>
      </c>
      <c r="AJ142" s="482">
        <f t="shared" si="36"/>
        <v>5433.2</v>
      </c>
      <c r="AK142" s="482">
        <f t="shared" si="37"/>
        <v>0</v>
      </c>
    </row>
    <row r="143" spans="1:37">
      <c r="E143" s="608" t="s">
        <v>275</v>
      </c>
      <c r="F143" s="606">
        <f t="shared" ref="F143:V143" si="39">((((((((((F132)+(F133))+(F134))+(F135))+(F136))+(F137))+(F138))+(F139))+(F140))+(F141))+(F142)</f>
        <v>99471.25</v>
      </c>
      <c r="G143" s="606">
        <f t="shared" si="39"/>
        <v>0</v>
      </c>
      <c r="H143" s="606">
        <f t="shared" si="39"/>
        <v>0</v>
      </c>
      <c r="I143" s="606">
        <f t="shared" si="39"/>
        <v>0</v>
      </c>
      <c r="J143" s="606">
        <f t="shared" si="39"/>
        <v>0</v>
      </c>
      <c r="K143" s="606">
        <f t="shared" si="39"/>
        <v>0</v>
      </c>
      <c r="L143" s="606">
        <f t="shared" si="39"/>
        <v>0</v>
      </c>
      <c r="M143" s="606">
        <f t="shared" si="39"/>
        <v>35885.449999999997</v>
      </c>
      <c r="N143" s="606">
        <f t="shared" si="39"/>
        <v>0</v>
      </c>
      <c r="O143" s="606">
        <f t="shared" si="39"/>
        <v>0</v>
      </c>
      <c r="P143" s="606">
        <f t="shared" si="39"/>
        <v>0</v>
      </c>
      <c r="Q143" s="606">
        <f t="shared" si="39"/>
        <v>0</v>
      </c>
      <c r="R143" s="606">
        <f t="shared" si="39"/>
        <v>0</v>
      </c>
      <c r="S143" s="606">
        <f t="shared" si="39"/>
        <v>0</v>
      </c>
      <c r="T143" s="606">
        <f t="shared" si="39"/>
        <v>0</v>
      </c>
      <c r="U143" s="606">
        <f t="shared" si="39"/>
        <v>0</v>
      </c>
      <c r="V143" s="606">
        <f t="shared" si="39"/>
        <v>0</v>
      </c>
      <c r="W143" s="606">
        <f t="shared" si="26"/>
        <v>135356.70000000001</v>
      </c>
      <c r="X143" s="606">
        <f t="shared" si="27"/>
        <v>135356.70000000001</v>
      </c>
      <c r="Y143" s="606">
        <f t="shared" si="27"/>
        <v>135356.70000000001</v>
      </c>
      <c r="AJ143" s="482">
        <f t="shared" si="36"/>
        <v>99471.250000000015</v>
      </c>
      <c r="AK143" s="482">
        <f t="shared" si="37"/>
        <v>35885.449999999997</v>
      </c>
    </row>
    <row r="144" spans="1:37">
      <c r="E144" s="608" t="s">
        <v>559</v>
      </c>
      <c r="F144" s="607"/>
      <c r="G144" s="607"/>
      <c r="H144" s="607"/>
      <c r="I144" s="607"/>
      <c r="J144" s="607"/>
      <c r="K144" s="607"/>
      <c r="L144" s="607"/>
      <c r="M144" s="607"/>
      <c r="N144" s="607"/>
      <c r="O144" s="607"/>
      <c r="P144" s="607"/>
      <c r="Q144" s="607"/>
      <c r="R144" s="607"/>
      <c r="S144" s="607"/>
      <c r="T144" s="607"/>
      <c r="U144" s="607"/>
      <c r="V144" s="607"/>
      <c r="W144" s="605">
        <f t="shared" si="26"/>
        <v>0</v>
      </c>
      <c r="X144" s="605">
        <f t="shared" si="27"/>
        <v>0</v>
      </c>
      <c r="Y144" s="605">
        <f t="shared" si="27"/>
        <v>0</v>
      </c>
      <c r="AJ144" s="482">
        <f t="shared" si="36"/>
        <v>0</v>
      </c>
      <c r="AK144" s="482">
        <f t="shared" si="37"/>
        <v>0</v>
      </c>
    </row>
    <row r="145" spans="1:37">
      <c r="A145" s="478">
        <v>136</v>
      </c>
      <c r="B145" s="478" t="str">
        <f>LEFT(TRIM(E145), 7)</f>
        <v>8002400</v>
      </c>
      <c r="C145" s="478">
        <v>2400</v>
      </c>
      <c r="D145" s="498" cm="1">
        <f t="array" ref="D145">INDEX('Form A Mapping'!C:C, MATCH(1, (C145 &gt;= 'Form A Mapping'!A:A) * (C145 &lt;= 'Form A Mapping'!B:B), 0))</f>
        <v>16</v>
      </c>
      <c r="E145" s="608" t="s">
        <v>560</v>
      </c>
      <c r="F145" s="605">
        <f>292.21</f>
        <v>292.20999999999998</v>
      </c>
      <c r="G145" s="607"/>
      <c r="H145" s="607"/>
      <c r="I145" s="607"/>
      <c r="J145" s="607"/>
      <c r="K145" s="607"/>
      <c r="L145" s="607"/>
      <c r="M145" s="607"/>
      <c r="N145" s="607"/>
      <c r="O145" s="607"/>
      <c r="P145" s="607"/>
      <c r="Q145" s="607"/>
      <c r="R145" s="607"/>
      <c r="S145" s="607"/>
      <c r="T145" s="607"/>
      <c r="U145" s="607"/>
      <c r="V145" s="607"/>
      <c r="W145" s="605">
        <f t="shared" si="26"/>
        <v>292.20999999999998</v>
      </c>
      <c r="X145" s="605">
        <f t="shared" si="27"/>
        <v>292.20999999999998</v>
      </c>
      <c r="Y145" s="605">
        <f t="shared" si="27"/>
        <v>292.20999999999998</v>
      </c>
      <c r="AJ145" s="482">
        <f t="shared" si="36"/>
        <v>292.20999999999998</v>
      </c>
      <c r="AK145" s="482">
        <f t="shared" si="37"/>
        <v>0</v>
      </c>
    </row>
    <row r="146" spans="1:37">
      <c r="A146" s="478">
        <v>135</v>
      </c>
      <c r="B146" s="478" t="str">
        <f>LEFT(TRIM(E146), 7)</f>
        <v>8102400</v>
      </c>
      <c r="C146" s="478">
        <v>2400</v>
      </c>
      <c r="D146" s="498" cm="1">
        <f t="array" ref="D146">INDEX('Form A Mapping'!C:C, MATCH(1, (C146 &gt;= 'Form A Mapping'!A:A) * (C146 &lt;= 'Form A Mapping'!B:B), 0))</f>
        <v>16</v>
      </c>
      <c r="E146" s="608" t="s">
        <v>561</v>
      </c>
      <c r="F146" s="605">
        <f>3503.09</f>
        <v>3503.09</v>
      </c>
      <c r="G146" s="607"/>
      <c r="H146" s="607"/>
      <c r="I146" s="607"/>
      <c r="J146" s="607"/>
      <c r="K146" s="607"/>
      <c r="L146" s="607"/>
      <c r="M146" s="607"/>
      <c r="N146" s="607"/>
      <c r="O146" s="607"/>
      <c r="P146" s="607"/>
      <c r="Q146" s="607"/>
      <c r="R146" s="607"/>
      <c r="S146" s="607"/>
      <c r="T146" s="607"/>
      <c r="U146" s="607"/>
      <c r="V146" s="607"/>
      <c r="W146" s="605">
        <f t="shared" si="26"/>
        <v>3503.09</v>
      </c>
      <c r="X146" s="605">
        <f t="shared" si="27"/>
        <v>3503.09</v>
      </c>
      <c r="Y146" s="605">
        <f t="shared" si="27"/>
        <v>3503.09</v>
      </c>
      <c r="AJ146" s="482">
        <f t="shared" si="36"/>
        <v>3503.09</v>
      </c>
      <c r="AK146" s="482">
        <f t="shared" si="37"/>
        <v>0</v>
      </c>
    </row>
    <row r="147" spans="1:37">
      <c r="E147" s="608" t="s">
        <v>562</v>
      </c>
      <c r="F147" s="606">
        <f t="shared" ref="F147:V147" si="40">((F144)+(F145))+(F146)</f>
        <v>3795.3</v>
      </c>
      <c r="G147" s="606">
        <f t="shared" si="40"/>
        <v>0</v>
      </c>
      <c r="H147" s="606">
        <f t="shared" si="40"/>
        <v>0</v>
      </c>
      <c r="I147" s="606">
        <f t="shared" si="40"/>
        <v>0</v>
      </c>
      <c r="J147" s="606">
        <f t="shared" si="40"/>
        <v>0</v>
      </c>
      <c r="K147" s="606">
        <f t="shared" si="40"/>
        <v>0</v>
      </c>
      <c r="L147" s="606">
        <f t="shared" si="40"/>
        <v>0</v>
      </c>
      <c r="M147" s="606">
        <f t="shared" si="40"/>
        <v>0</v>
      </c>
      <c r="N147" s="606">
        <f t="shared" si="40"/>
        <v>0</v>
      </c>
      <c r="O147" s="606">
        <f t="shared" si="40"/>
        <v>0</v>
      </c>
      <c r="P147" s="606">
        <f t="shared" si="40"/>
        <v>0</v>
      </c>
      <c r="Q147" s="606">
        <f t="shared" si="40"/>
        <v>0</v>
      </c>
      <c r="R147" s="606">
        <f t="shared" si="40"/>
        <v>0</v>
      </c>
      <c r="S147" s="606">
        <f t="shared" si="40"/>
        <v>0</v>
      </c>
      <c r="T147" s="606">
        <f t="shared" si="40"/>
        <v>0</v>
      </c>
      <c r="U147" s="606">
        <f t="shared" si="40"/>
        <v>0</v>
      </c>
      <c r="V147" s="606">
        <f t="shared" si="40"/>
        <v>0</v>
      </c>
      <c r="W147" s="606">
        <f t="shared" si="26"/>
        <v>3795.3</v>
      </c>
      <c r="X147" s="606">
        <f t="shared" si="27"/>
        <v>3795.3</v>
      </c>
      <c r="Y147" s="606">
        <f t="shared" si="27"/>
        <v>3795.3</v>
      </c>
      <c r="AJ147" s="482">
        <f t="shared" si="36"/>
        <v>3795.3</v>
      </c>
      <c r="AK147" s="482">
        <f t="shared" si="37"/>
        <v>0</v>
      </c>
    </row>
    <row r="148" spans="1:37">
      <c r="E148" s="608" t="s">
        <v>563</v>
      </c>
      <c r="F148" s="607"/>
      <c r="G148" s="607"/>
      <c r="H148" s="607"/>
      <c r="I148" s="607"/>
      <c r="J148" s="607"/>
      <c r="K148" s="607"/>
      <c r="L148" s="607"/>
      <c r="M148" s="607"/>
      <c r="N148" s="607"/>
      <c r="O148" s="607"/>
      <c r="P148" s="607"/>
      <c r="Q148" s="607"/>
      <c r="R148" s="607"/>
      <c r="S148" s="607"/>
      <c r="T148" s="607"/>
      <c r="U148" s="607"/>
      <c r="V148" s="607"/>
      <c r="W148" s="605">
        <f t="shared" si="26"/>
        <v>0</v>
      </c>
      <c r="X148" s="605">
        <f t="shared" si="27"/>
        <v>0</v>
      </c>
      <c r="Y148" s="605">
        <f t="shared" si="27"/>
        <v>0</v>
      </c>
      <c r="AJ148" s="482">
        <f t="shared" si="36"/>
        <v>0</v>
      </c>
      <c r="AK148" s="482">
        <f t="shared" si="37"/>
        <v>0</v>
      </c>
    </row>
    <row r="149" spans="1:37">
      <c r="A149" s="478">
        <v>142</v>
      </c>
      <c r="B149" s="478" t="str">
        <f>LEFT(TRIM(E149), 7)</f>
        <v>9335200</v>
      </c>
      <c r="C149" s="478">
        <v>5200</v>
      </c>
      <c r="D149" s="498" cm="1">
        <f t="array" ref="D149">INDEX('Form A Mapping'!C:C, MATCH(1, (C149 &gt;= 'Form A Mapping'!A:A) * (C149 &lt;= 'Form A Mapping'!B:B), 0))</f>
        <v>26</v>
      </c>
      <c r="E149" s="608" t="s">
        <v>564</v>
      </c>
      <c r="F149" s="605">
        <f>-203325.82+1831</f>
        <v>-201494.82</v>
      </c>
      <c r="G149" s="607"/>
      <c r="H149" s="605">
        <f>697</f>
        <v>697</v>
      </c>
      <c r="I149" s="605">
        <f>3600</f>
        <v>3600</v>
      </c>
      <c r="J149" s="605">
        <f>32641</f>
        <v>32641</v>
      </c>
      <c r="K149" s="605">
        <f>125742.32</f>
        <v>125742.32</v>
      </c>
      <c r="L149" s="605">
        <f>31715.5</f>
        <v>31715.5</v>
      </c>
      <c r="M149" s="607"/>
      <c r="N149" s="605">
        <f>1092</f>
        <v>1092</v>
      </c>
      <c r="O149" s="607"/>
      <c r="P149" s="607"/>
      <c r="Q149" s="607"/>
      <c r="R149" s="607"/>
      <c r="S149" s="607"/>
      <c r="T149" s="605">
        <f>6007</f>
        <v>6007</v>
      </c>
      <c r="U149" s="607"/>
      <c r="V149" s="607"/>
      <c r="W149" s="605">
        <f t="shared" si="26"/>
        <v>0</v>
      </c>
      <c r="X149" s="605">
        <f t="shared" si="27"/>
        <v>0</v>
      </c>
      <c r="Y149" s="605">
        <f t="shared" si="27"/>
        <v>0</v>
      </c>
      <c r="AJ149" s="482">
        <f t="shared" si="36"/>
        <v>-201494.82</v>
      </c>
      <c r="AK149" s="482">
        <f t="shared" si="37"/>
        <v>201494.82</v>
      </c>
    </row>
    <row r="150" spans="1:37">
      <c r="E150" s="608" t="s">
        <v>565</v>
      </c>
      <c r="F150" s="606">
        <f t="shared" ref="F150:V150" si="41">(F148)+(F149)</f>
        <v>-201494.82</v>
      </c>
      <c r="G150" s="606">
        <f t="shared" si="41"/>
        <v>0</v>
      </c>
      <c r="H150" s="606">
        <f t="shared" si="41"/>
        <v>697</v>
      </c>
      <c r="I150" s="606">
        <f t="shared" si="41"/>
        <v>3600</v>
      </c>
      <c r="J150" s="606">
        <f t="shared" si="41"/>
        <v>32641</v>
      </c>
      <c r="K150" s="606">
        <f t="shared" si="41"/>
        <v>125742.32</v>
      </c>
      <c r="L150" s="606">
        <f t="shared" si="41"/>
        <v>31715.5</v>
      </c>
      <c r="M150" s="606">
        <f t="shared" si="41"/>
        <v>0</v>
      </c>
      <c r="N150" s="606">
        <f t="shared" si="41"/>
        <v>1092</v>
      </c>
      <c r="O150" s="606">
        <f t="shared" si="41"/>
        <v>0</v>
      </c>
      <c r="P150" s="606">
        <f t="shared" si="41"/>
        <v>0</v>
      </c>
      <c r="Q150" s="606">
        <f t="shared" si="41"/>
        <v>0</v>
      </c>
      <c r="R150" s="606">
        <f t="shared" si="41"/>
        <v>0</v>
      </c>
      <c r="S150" s="606">
        <f t="shared" si="41"/>
        <v>0</v>
      </c>
      <c r="T150" s="606">
        <f t="shared" si="41"/>
        <v>6007</v>
      </c>
      <c r="U150" s="606">
        <f t="shared" si="41"/>
        <v>0</v>
      </c>
      <c r="V150" s="606">
        <f t="shared" si="41"/>
        <v>0</v>
      </c>
      <c r="W150" s="606">
        <f t="shared" si="26"/>
        <v>0</v>
      </c>
      <c r="X150" s="606">
        <f t="shared" si="27"/>
        <v>0</v>
      </c>
      <c r="Y150" s="606">
        <f t="shared" si="27"/>
        <v>0</v>
      </c>
      <c r="AJ150" s="482">
        <f t="shared" si="36"/>
        <v>-201494.82</v>
      </c>
      <c r="AK150" s="482">
        <f t="shared" si="37"/>
        <v>201494.82</v>
      </c>
    </row>
    <row r="151" spans="1:37">
      <c r="E151" s="608" t="s">
        <v>566</v>
      </c>
      <c r="F151" s="606">
        <f t="shared" ref="F151:V151" si="42">(((((((F40)+(F93))+(F109))+(F121))+(F131))+(F143))+(F147))+(F150)</f>
        <v>1789877.8299999996</v>
      </c>
      <c r="G151" s="606">
        <f t="shared" si="42"/>
        <v>7524.37</v>
      </c>
      <c r="H151" s="606">
        <f t="shared" si="42"/>
        <v>697</v>
      </c>
      <c r="I151" s="606">
        <f t="shared" si="42"/>
        <v>28800</v>
      </c>
      <c r="J151" s="606">
        <f t="shared" si="42"/>
        <v>269379</v>
      </c>
      <c r="K151" s="606">
        <f t="shared" si="42"/>
        <v>999862</v>
      </c>
      <c r="L151" s="606">
        <f t="shared" si="42"/>
        <v>249643</v>
      </c>
      <c r="M151" s="606">
        <f t="shared" si="42"/>
        <v>196999.82</v>
      </c>
      <c r="N151" s="606">
        <f t="shared" si="42"/>
        <v>38397</v>
      </c>
      <c r="O151" s="606">
        <f t="shared" si="42"/>
        <v>1831</v>
      </c>
      <c r="P151" s="606">
        <f t="shared" si="42"/>
        <v>6800</v>
      </c>
      <c r="Q151" s="606">
        <f t="shared" si="42"/>
        <v>0</v>
      </c>
      <c r="R151" s="606">
        <f t="shared" si="42"/>
        <v>9600</v>
      </c>
      <c r="S151" s="606">
        <f t="shared" si="42"/>
        <v>0</v>
      </c>
      <c r="T151" s="606">
        <f t="shared" si="42"/>
        <v>169965</v>
      </c>
      <c r="U151" s="606">
        <f t="shared" si="42"/>
        <v>16396</v>
      </c>
      <c r="V151" s="606">
        <f t="shared" si="42"/>
        <v>27996</v>
      </c>
      <c r="W151" s="606">
        <f t="shared" si="26"/>
        <v>3813768.0199999996</v>
      </c>
      <c r="X151" s="606">
        <f t="shared" si="27"/>
        <v>3813768.0199999996</v>
      </c>
      <c r="Y151" s="606">
        <f t="shared" si="27"/>
        <v>3813768.0199999996</v>
      </c>
      <c r="Z151" s="609">
        <f>'Annual Budget '!J156</f>
        <v>3813767.5300000003</v>
      </c>
      <c r="AJ151" s="482">
        <f t="shared" si="36"/>
        <v>1804202.1999999995</v>
      </c>
      <c r="AK151" s="482">
        <f t="shared" si="37"/>
        <v>2009565.82</v>
      </c>
    </row>
    <row r="152" spans="1:37">
      <c r="E152" s="608" t="s">
        <v>567</v>
      </c>
      <c r="F152" s="606">
        <f t="shared" ref="F152:V152" si="43">(F25)-(F151)</f>
        <v>255692.50000000047</v>
      </c>
      <c r="G152" s="606">
        <f t="shared" si="43"/>
        <v>3841.63</v>
      </c>
      <c r="H152" s="606">
        <f t="shared" si="43"/>
        <v>0</v>
      </c>
      <c r="I152" s="606">
        <f t="shared" si="43"/>
        <v>0</v>
      </c>
      <c r="J152" s="606">
        <f t="shared" si="43"/>
        <v>0</v>
      </c>
      <c r="K152" s="606">
        <f t="shared" si="43"/>
        <v>0</v>
      </c>
      <c r="L152" s="606">
        <f t="shared" si="43"/>
        <v>0</v>
      </c>
      <c r="M152" s="606">
        <f t="shared" si="43"/>
        <v>0</v>
      </c>
      <c r="N152" s="606">
        <f t="shared" si="43"/>
        <v>0</v>
      </c>
      <c r="O152" s="606">
        <f t="shared" si="43"/>
        <v>0</v>
      </c>
      <c r="P152" s="606">
        <f t="shared" si="43"/>
        <v>59218</v>
      </c>
      <c r="Q152" s="606">
        <f t="shared" si="43"/>
        <v>7614</v>
      </c>
      <c r="R152" s="606">
        <f t="shared" si="43"/>
        <v>0</v>
      </c>
      <c r="S152" s="606">
        <f t="shared" si="43"/>
        <v>14500</v>
      </c>
      <c r="T152" s="606">
        <f t="shared" si="43"/>
        <v>0</v>
      </c>
      <c r="U152" s="606">
        <f t="shared" si="43"/>
        <v>0</v>
      </c>
      <c r="V152" s="606">
        <f t="shared" si="43"/>
        <v>0</v>
      </c>
      <c r="W152" s="606">
        <f t="shared" si="26"/>
        <v>340866.13000000047</v>
      </c>
      <c r="X152" s="606">
        <f t="shared" si="27"/>
        <v>340866.13000000047</v>
      </c>
      <c r="Y152" s="606">
        <f t="shared" si="27"/>
        <v>340866.13000000047</v>
      </c>
      <c r="AJ152" s="482">
        <f t="shared" si="36"/>
        <v>326366.13000000047</v>
      </c>
      <c r="AK152" s="482">
        <f t="shared" si="37"/>
        <v>14500</v>
      </c>
    </row>
    <row r="153" spans="1:37">
      <c r="E153" s="608" t="s">
        <v>568</v>
      </c>
      <c r="F153" s="606">
        <f t="shared" ref="F153:V153" si="44">(F152)+(0)</f>
        <v>255692.50000000047</v>
      </c>
      <c r="G153" s="606">
        <f t="shared" si="44"/>
        <v>3841.63</v>
      </c>
      <c r="H153" s="606">
        <f t="shared" si="44"/>
        <v>0</v>
      </c>
      <c r="I153" s="606">
        <f t="shared" si="44"/>
        <v>0</v>
      </c>
      <c r="J153" s="606">
        <f t="shared" si="44"/>
        <v>0</v>
      </c>
      <c r="K153" s="606">
        <f t="shared" si="44"/>
        <v>0</v>
      </c>
      <c r="L153" s="606">
        <f t="shared" si="44"/>
        <v>0</v>
      </c>
      <c r="M153" s="606">
        <f t="shared" si="44"/>
        <v>0</v>
      </c>
      <c r="N153" s="606">
        <f t="shared" si="44"/>
        <v>0</v>
      </c>
      <c r="O153" s="606">
        <f t="shared" si="44"/>
        <v>0</v>
      </c>
      <c r="P153" s="606">
        <f t="shared" si="44"/>
        <v>59218</v>
      </c>
      <c r="Q153" s="606">
        <f t="shared" si="44"/>
        <v>7614</v>
      </c>
      <c r="R153" s="606">
        <f t="shared" si="44"/>
        <v>0</v>
      </c>
      <c r="S153" s="606">
        <f t="shared" si="44"/>
        <v>14500</v>
      </c>
      <c r="T153" s="606">
        <f t="shared" si="44"/>
        <v>0</v>
      </c>
      <c r="U153" s="606">
        <f t="shared" si="44"/>
        <v>0</v>
      </c>
      <c r="V153" s="606">
        <f t="shared" si="44"/>
        <v>0</v>
      </c>
      <c r="W153" s="606">
        <f t="shared" si="26"/>
        <v>340866.13000000047</v>
      </c>
      <c r="X153" s="606">
        <f t="shared" si="27"/>
        <v>340866.13000000047</v>
      </c>
      <c r="Y153" s="606">
        <f t="shared" si="27"/>
        <v>340866.13000000047</v>
      </c>
      <c r="AJ153" s="482">
        <f t="shared" si="36"/>
        <v>326366.13000000047</v>
      </c>
      <c r="AK153" s="482">
        <f t="shared" si="37"/>
        <v>14500</v>
      </c>
    </row>
    <row r="154" spans="1:37">
      <c r="AJ154" s="482">
        <f t="shared" si="36"/>
        <v>0</v>
      </c>
    </row>
    <row r="155" spans="1:37">
      <c r="AJ155" s="482">
        <f t="shared" si="36"/>
        <v>0</v>
      </c>
    </row>
    <row r="156" spans="1:37">
      <c r="AJ156" s="482">
        <f t="shared" si="36"/>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18E30-05FC-4415-923B-9C0D1D120884}">
  <dimension ref="A1:AI41"/>
  <sheetViews>
    <sheetView topLeftCell="W14" workbookViewId="0">
      <selection activeCell="AE13" sqref="AE13:AE33"/>
    </sheetView>
  </sheetViews>
  <sheetFormatPr defaultRowHeight="15.5"/>
  <cols>
    <col min="14" max="14" width="10.765625" bestFit="1" customWidth="1"/>
    <col min="15" max="15" width="10.84375" bestFit="1" customWidth="1"/>
    <col min="18" max="18" width="16" bestFit="1" customWidth="1"/>
    <col min="19" max="19" width="24.4609375" customWidth="1"/>
    <col min="20" max="27" width="12.07421875" customWidth="1"/>
    <col min="28" max="35" width="11.69140625" customWidth="1"/>
  </cols>
  <sheetData>
    <row r="1" spans="1:35" ht="16" thickBot="1">
      <c r="A1" s="814" t="s">
        <v>585</v>
      </c>
      <c r="B1" s="815"/>
      <c r="C1" s="815"/>
      <c r="D1" s="816"/>
    </row>
    <row r="2" spans="1:35" ht="16" thickBot="1">
      <c r="A2" s="817"/>
      <c r="B2" s="767"/>
      <c r="C2" s="767"/>
      <c r="D2" s="818"/>
      <c r="H2" s="819" t="s">
        <v>586</v>
      </c>
      <c r="I2" s="820"/>
      <c r="J2" s="820"/>
      <c r="K2" s="820"/>
      <c r="L2" s="820"/>
      <c r="M2" s="820"/>
      <c r="N2" s="820"/>
      <c r="O2" s="820"/>
      <c r="P2" s="820"/>
      <c r="Q2" s="820"/>
      <c r="R2" s="820"/>
      <c r="S2" s="821"/>
      <c r="T2" s="828" t="s">
        <v>4325</v>
      </c>
      <c r="U2" s="829"/>
      <c r="V2" s="829"/>
      <c r="W2" s="830"/>
      <c r="X2" s="829" t="s">
        <v>4326</v>
      </c>
      <c r="Y2" s="829"/>
      <c r="Z2" s="829"/>
      <c r="AA2" s="830"/>
      <c r="AB2" s="822" t="s">
        <v>587</v>
      </c>
      <c r="AC2" s="823"/>
      <c r="AD2" s="823"/>
      <c r="AE2" s="824"/>
      <c r="AF2" s="822" t="s">
        <v>588</v>
      </c>
      <c r="AG2" s="823"/>
      <c r="AH2" s="823"/>
      <c r="AI2" s="824"/>
    </row>
    <row r="3" spans="1:35" ht="15.75" customHeight="1" thickTop="1">
      <c r="A3" s="499"/>
      <c r="C3" t="s">
        <v>589</v>
      </c>
      <c r="D3" s="500" t="s">
        <v>590</v>
      </c>
      <c r="H3" s="808" t="s">
        <v>591</v>
      </c>
      <c r="I3" s="811" t="s">
        <v>592</v>
      </c>
      <c r="J3" s="811" t="s">
        <v>593</v>
      </c>
      <c r="K3" s="811" t="s">
        <v>594</v>
      </c>
      <c r="L3" s="811" t="s">
        <v>593</v>
      </c>
      <c r="M3" s="825"/>
      <c r="N3" s="811" t="s">
        <v>595</v>
      </c>
      <c r="O3" s="811" t="s">
        <v>596</v>
      </c>
      <c r="P3" s="811" t="s">
        <v>597</v>
      </c>
      <c r="Q3" s="811" t="s">
        <v>598</v>
      </c>
      <c r="R3" s="811" t="s">
        <v>722</v>
      </c>
      <c r="S3" s="811" t="s">
        <v>723</v>
      </c>
      <c r="T3" s="808" t="s">
        <v>592</v>
      </c>
      <c r="U3" s="811" t="s">
        <v>593</v>
      </c>
      <c r="V3" s="811" t="s">
        <v>595</v>
      </c>
      <c r="W3" s="805" t="s">
        <v>597</v>
      </c>
      <c r="X3" s="808" t="s">
        <v>592</v>
      </c>
      <c r="Y3" s="811" t="s">
        <v>593</v>
      </c>
      <c r="Z3" s="811" t="s">
        <v>595</v>
      </c>
      <c r="AA3" s="805" t="s">
        <v>597</v>
      </c>
      <c r="AB3" s="831" t="s">
        <v>572</v>
      </c>
      <c r="AC3" s="794" t="s">
        <v>599</v>
      </c>
      <c r="AD3" s="797" t="s">
        <v>600</v>
      </c>
      <c r="AE3" s="797" t="s">
        <v>601</v>
      </c>
      <c r="AF3" s="802" t="s">
        <v>572</v>
      </c>
      <c r="AG3" s="794" t="s">
        <v>599</v>
      </c>
      <c r="AH3" s="797" t="s">
        <v>600</v>
      </c>
      <c r="AI3" s="797" t="s">
        <v>601</v>
      </c>
    </row>
    <row r="4" spans="1:35" ht="15" customHeight="1">
      <c r="A4" s="501">
        <v>1100</v>
      </c>
      <c r="B4" s="502">
        <f t="shared" ref="B4:B23" si="0">A4+99</f>
        <v>1199</v>
      </c>
      <c r="C4" s="502">
        <v>7</v>
      </c>
      <c r="D4" s="503" t="s">
        <v>602</v>
      </c>
      <c r="H4" s="809"/>
      <c r="I4" s="812"/>
      <c r="J4" s="812"/>
      <c r="K4" s="812"/>
      <c r="L4" s="812"/>
      <c r="M4" s="826"/>
      <c r="N4" s="812"/>
      <c r="O4" s="812"/>
      <c r="P4" s="812"/>
      <c r="Q4" s="812"/>
      <c r="R4" s="812"/>
      <c r="S4" s="812"/>
      <c r="T4" s="809"/>
      <c r="U4" s="812"/>
      <c r="V4" s="812"/>
      <c r="W4" s="806"/>
      <c r="X4" s="809"/>
      <c r="Y4" s="812"/>
      <c r="Z4" s="812"/>
      <c r="AA4" s="806"/>
      <c r="AB4" s="832"/>
      <c r="AC4" s="795" t="s">
        <v>603</v>
      </c>
      <c r="AD4" s="798" t="s">
        <v>603</v>
      </c>
      <c r="AE4" s="798" t="s">
        <v>603</v>
      </c>
      <c r="AF4" s="803"/>
      <c r="AG4" s="795" t="s">
        <v>603</v>
      </c>
      <c r="AH4" s="798" t="s">
        <v>603</v>
      </c>
      <c r="AI4" s="798" t="s">
        <v>603</v>
      </c>
    </row>
    <row r="5" spans="1:35" ht="15.75" customHeight="1" thickBot="1">
      <c r="A5" s="501">
        <v>1200</v>
      </c>
      <c r="B5" s="502">
        <f t="shared" si="0"/>
        <v>1299</v>
      </c>
      <c r="C5" s="502">
        <v>8</v>
      </c>
      <c r="D5" s="503" t="s">
        <v>604</v>
      </c>
      <c r="H5" s="810"/>
      <c r="I5" s="813"/>
      <c r="J5" s="813"/>
      <c r="K5" s="813"/>
      <c r="L5" s="813"/>
      <c r="M5" s="827"/>
      <c r="N5" s="813"/>
      <c r="O5" s="813"/>
      <c r="P5" s="813"/>
      <c r="Q5" s="813"/>
      <c r="R5" s="813"/>
      <c r="S5" s="813"/>
      <c r="T5" s="810"/>
      <c r="U5" s="813"/>
      <c r="V5" s="813"/>
      <c r="W5" s="807"/>
      <c r="X5" s="810"/>
      <c r="Y5" s="813"/>
      <c r="Z5" s="813"/>
      <c r="AA5" s="807"/>
      <c r="AB5" s="833"/>
      <c r="AC5" s="796"/>
      <c r="AD5" s="799"/>
      <c r="AE5" s="799"/>
      <c r="AF5" s="804"/>
      <c r="AG5" s="796"/>
      <c r="AH5" s="799"/>
      <c r="AI5" s="799"/>
    </row>
    <row r="6" spans="1:35">
      <c r="A6" s="501">
        <v>1300</v>
      </c>
      <c r="B6" s="502">
        <f t="shared" si="0"/>
        <v>1399</v>
      </c>
      <c r="C6" s="502">
        <v>9</v>
      </c>
      <c r="D6" s="503" t="s">
        <v>605</v>
      </c>
      <c r="H6" s="486"/>
      <c r="Q6" s="504"/>
      <c r="S6" s="487"/>
      <c r="T6" s="486"/>
      <c r="W6" s="487"/>
      <c r="X6" s="486"/>
      <c r="AA6" s="487"/>
    </row>
    <row r="7" spans="1:35">
      <c r="A7" s="501">
        <v>1400</v>
      </c>
      <c r="B7" s="502">
        <f t="shared" si="0"/>
        <v>1499</v>
      </c>
      <c r="C7" s="502">
        <v>10</v>
      </c>
      <c r="D7" s="503" t="s">
        <v>606</v>
      </c>
      <c r="H7" s="505">
        <v>1</v>
      </c>
      <c r="I7" s="506"/>
      <c r="J7" s="506"/>
      <c r="K7" s="506"/>
      <c r="L7" s="506"/>
      <c r="M7" s="506"/>
      <c r="N7" s="506"/>
      <c r="O7" s="506"/>
      <c r="P7" s="506"/>
      <c r="Q7" s="506"/>
      <c r="R7" s="514">
        <f>SUMIF(FBT!D:D, 'Form A Mapping'!H7,FBT!I:I)</f>
        <v>1954468</v>
      </c>
      <c r="S7" s="515">
        <f>SUMIF(FBT!D:D, 'Form A Mapping'!H7,FBT!J:J)</f>
        <v>0</v>
      </c>
      <c r="T7" s="738"/>
      <c r="U7" s="514"/>
      <c r="V7" s="514"/>
      <c r="W7" s="515"/>
      <c r="X7" s="738"/>
      <c r="Y7" s="514"/>
      <c r="Z7" s="514"/>
      <c r="AA7" s="515"/>
      <c r="AB7" s="477">
        <f>SUMIF('FY24'!D:D,'Form A Mapping'!H7,'FY24'!AJ:AJ)</f>
        <v>1300052.33</v>
      </c>
      <c r="AC7" s="477">
        <f>R7+N7</f>
        <v>1954468</v>
      </c>
      <c r="AD7" s="477">
        <f>SUMIF('P&amp;L 1'!A:A, 'Form A Mapping'!H7,'P&amp;L 1'!B:B)</f>
        <v>688003.56</v>
      </c>
      <c r="AE7" s="477">
        <f>SUMIF('P&amp;L 2'!A:A, 'Form A Mapping'!H7,'P&amp;L 2'!B:B)</f>
        <v>1223272.54</v>
      </c>
      <c r="AF7" s="477">
        <f>SUMIF('FY24'!D:D,'Form A Mapping'!H7,'FY24'!AK:AK)</f>
        <v>0</v>
      </c>
      <c r="AG7" s="477">
        <f>S7+O7</f>
        <v>0</v>
      </c>
      <c r="AH7" s="477">
        <f>IFERROR(SUMIF('P&amp;L SR 1'!A:A,H7, INDEX( 'P&amp;L SR 1'!A:ZZ, 0, MATCH("TOTAL", 'P&amp;L SR 1'!$5:$5, 0))), 0)</f>
        <v>0</v>
      </c>
      <c r="AI7" s="477">
        <f>IFERROR(SUMIF('P&amp;L SR 2'!A:A,H7, INDEX( 'P&amp;L SR 2'!A:ZZ, 0, MATCH("TOTAL", 'P&amp;L SR 2'!$5:$5, 0))), 0)</f>
        <v>0</v>
      </c>
    </row>
    <row r="8" spans="1:35">
      <c r="A8" s="501">
        <v>1500</v>
      </c>
      <c r="B8" s="502">
        <f t="shared" si="0"/>
        <v>1599</v>
      </c>
      <c r="C8" s="502">
        <v>11</v>
      </c>
      <c r="D8" s="503" t="s">
        <v>607</v>
      </c>
      <c r="H8" s="505">
        <v>2</v>
      </c>
      <c r="I8" s="506"/>
      <c r="J8" s="506"/>
      <c r="K8" s="506"/>
      <c r="L8" s="506"/>
      <c r="M8" s="506"/>
      <c r="N8" s="506"/>
      <c r="O8" s="506"/>
      <c r="P8" s="506"/>
      <c r="Q8" s="506"/>
      <c r="R8" s="514">
        <f>SUMIF(FBT!D:D, 'Form A Mapping'!H8,FBT!I:I)</f>
        <v>0</v>
      </c>
      <c r="S8" s="515">
        <f>SUMIF(FBT!D:D, 'Form A Mapping'!H8,FBT!J:J)</f>
        <v>22389.705882352941</v>
      </c>
      <c r="T8" s="738"/>
      <c r="U8" s="514"/>
      <c r="V8" s="514"/>
      <c r="W8" s="515"/>
      <c r="X8" s="738"/>
      <c r="Y8" s="514"/>
      <c r="Z8" s="514"/>
      <c r="AA8" s="515"/>
      <c r="AB8" s="477">
        <f>SUMIF('FY24'!D:D,'Form A Mapping'!H8,'FY24'!AJ:AJ)</f>
        <v>11866</v>
      </c>
      <c r="AC8" s="477">
        <f t="shared" ref="AC8:AC33" si="1">R8+N8</f>
        <v>0</v>
      </c>
      <c r="AD8" s="477">
        <f>SUMIF('P&amp;L 1'!A:A, 'Form A Mapping'!H8,'P&amp;L 1'!B:B)</f>
        <v>91928</v>
      </c>
      <c r="AE8" s="477">
        <f>SUMIF('P&amp;L 2'!A:A, 'Form A Mapping'!H8,'P&amp;L 2'!B:B)</f>
        <v>0</v>
      </c>
      <c r="AF8" s="477">
        <f>SUMIF('FY24'!D:D,'Form A Mapping'!H8,'FY24'!AK:AK)</f>
        <v>0</v>
      </c>
      <c r="AG8" s="477">
        <f t="shared" ref="AG8:AG33" si="2">S8+O8</f>
        <v>22389.705882352941</v>
      </c>
      <c r="AH8" s="477">
        <f>IFERROR(SUMIF('P&amp;L SR 1'!A:A,H8, INDEX( 'P&amp;L SR 1'!A:ZZ, 0, MATCH("TOTAL", 'P&amp;L SR 1'!$5:$5, 0))), 0)</f>
        <v>0</v>
      </c>
      <c r="AI8" s="477">
        <f>IFERROR(SUMIF('P&amp;L SR 2'!A:A,H8, INDEX( 'P&amp;L SR 2'!A:ZZ, 0, MATCH("TOTAL", 'P&amp;L SR 2'!$5:$5, 0))), 0)</f>
        <v>3143</v>
      </c>
    </row>
    <row r="9" spans="1:35">
      <c r="A9" s="501">
        <v>1600</v>
      </c>
      <c r="B9" s="502">
        <f t="shared" si="0"/>
        <v>1699</v>
      </c>
      <c r="C9" s="502">
        <v>12</v>
      </c>
      <c r="D9" s="503" t="s">
        <v>608</v>
      </c>
      <c r="H9" s="505">
        <v>3</v>
      </c>
      <c r="I9" s="506"/>
      <c r="J9" s="506"/>
      <c r="K9" s="506"/>
      <c r="L9" s="506"/>
      <c r="M9" s="506"/>
      <c r="N9" s="506"/>
      <c r="O9" s="506"/>
      <c r="P9" s="506"/>
      <c r="Q9" s="506"/>
      <c r="R9" s="514">
        <f>SUMIF(FBT!D:D, 'Form A Mapping'!H9,FBT!I:I)</f>
        <v>1344316.2326921532</v>
      </c>
      <c r="S9" s="515">
        <f>SUMIF(FBT!D:D, 'Form A Mapping'!H9,FBT!J:J)</f>
        <v>0</v>
      </c>
      <c r="T9" s="738"/>
      <c r="U9" s="514"/>
      <c r="V9" s="514"/>
      <c r="W9" s="515"/>
      <c r="X9" s="738"/>
      <c r="Y9" s="514"/>
      <c r="Z9" s="514"/>
      <c r="AA9" s="515"/>
      <c r="AB9" s="477">
        <f>SUMIF('FY24'!D:D,'Form A Mapping'!H9,'FY24'!AJ:AJ)</f>
        <v>818650</v>
      </c>
      <c r="AC9" s="477">
        <f t="shared" si="1"/>
        <v>1344316.2326921532</v>
      </c>
      <c r="AD9" s="477">
        <f>SUMIF('P&amp;L 1'!A:A, 'Form A Mapping'!H9,'P&amp;L 1'!B:B)</f>
        <v>400974</v>
      </c>
      <c r="AE9" s="477">
        <f>SUMIF('P&amp;L 2'!A:A, 'Form A Mapping'!H9,'P&amp;L 2'!B:B)</f>
        <v>537282</v>
      </c>
      <c r="AF9" s="477">
        <f>SUMIF('FY24'!D:D,'Form A Mapping'!H9,'FY24'!AK:AK)</f>
        <v>0</v>
      </c>
      <c r="AG9" s="477">
        <f t="shared" si="2"/>
        <v>0</v>
      </c>
      <c r="AH9" s="477">
        <f>IFERROR(SUMIF('P&amp;L SR 1'!A:A,H9, INDEX( 'P&amp;L SR 1'!A:ZZ, 0, MATCH("TOTAL", 'P&amp;L SR 1'!$5:$5, 0))), 0)</f>
        <v>0</v>
      </c>
      <c r="AI9" s="477">
        <f>IFERROR(SUMIF('P&amp;L SR 2'!A:A,H9, INDEX( 'P&amp;L SR 2'!A:ZZ, 0, MATCH("TOTAL", 'P&amp;L SR 2'!$5:$5, 0))), 0)</f>
        <v>0</v>
      </c>
    </row>
    <row r="10" spans="1:35">
      <c r="A10" s="501">
        <v>2100</v>
      </c>
      <c r="B10" s="502">
        <f t="shared" si="0"/>
        <v>2199</v>
      </c>
      <c r="C10" s="502">
        <v>13</v>
      </c>
      <c r="D10" s="507" t="s">
        <v>609</v>
      </c>
      <c r="H10" s="505">
        <v>4</v>
      </c>
      <c r="I10" s="506"/>
      <c r="J10" s="506"/>
      <c r="K10" s="506"/>
      <c r="L10" s="506"/>
      <c r="M10" s="506"/>
      <c r="N10" s="506"/>
      <c r="O10" s="506"/>
      <c r="P10" s="506"/>
      <c r="Q10" s="506"/>
      <c r="R10" s="514">
        <f>SUMIF(FBT!D:D, 'Form A Mapping'!H10,FBT!I:I)</f>
        <v>0</v>
      </c>
      <c r="S10" s="515">
        <f>SUMIF(FBT!D:D, 'Form A Mapping'!H10,FBT!J:J)</f>
        <v>0</v>
      </c>
      <c r="T10" s="738"/>
      <c r="U10" s="514"/>
      <c r="V10" s="514"/>
      <c r="W10" s="515"/>
      <c r="X10" s="738"/>
      <c r="Y10" s="514"/>
      <c r="Z10" s="514"/>
      <c r="AA10" s="515"/>
      <c r="AB10" s="477">
        <f>SUMIF('FY24'!D:D,'Form A Mapping'!H10,'FY24'!AJ:AJ)</f>
        <v>0</v>
      </c>
      <c r="AC10" s="477">
        <f t="shared" si="1"/>
        <v>0</v>
      </c>
      <c r="AD10" s="477">
        <f>SUMIF('P&amp;L 1'!A:A, 'Form A Mapping'!H10,'P&amp;L 1'!B:B)</f>
        <v>0</v>
      </c>
      <c r="AE10" s="477">
        <f>SUMIF('P&amp;L 2'!A:A, 'Form A Mapping'!H10,'P&amp;L 2'!B:B)</f>
        <v>0</v>
      </c>
      <c r="AF10" s="477">
        <f>SUMIF('FY24'!D:D,'Form A Mapping'!H10,'FY24'!AK:AK)</f>
        <v>0</v>
      </c>
      <c r="AG10" s="477">
        <f t="shared" si="2"/>
        <v>0</v>
      </c>
      <c r="AH10" s="477">
        <f>IFERROR(SUMIF('P&amp;L SR 1'!A:A,H10, INDEX( 'P&amp;L SR 1'!A:ZZ, 0, MATCH("TOTAL", 'P&amp;L SR 1'!$5:$5, 0))), 0)</f>
        <v>0</v>
      </c>
      <c r="AI10" s="477">
        <f>IFERROR(SUMIF('P&amp;L SR 2'!A:A,H10, INDEX( 'P&amp;L SR 2'!A:ZZ, 0, MATCH("TOTAL", 'P&amp;L SR 2'!$5:$5, 0))), 0)</f>
        <v>0</v>
      </c>
    </row>
    <row r="11" spans="1:35">
      <c r="A11" s="501">
        <v>2200</v>
      </c>
      <c r="B11" s="502">
        <f t="shared" si="0"/>
        <v>2299</v>
      </c>
      <c r="C11" s="502">
        <v>14</v>
      </c>
      <c r="D11" s="507" t="s">
        <v>610</v>
      </c>
      <c r="H11" s="505">
        <v>5</v>
      </c>
      <c r="I11" s="506"/>
      <c r="J11" s="506"/>
      <c r="K11" s="506"/>
      <c r="L11" s="506"/>
      <c r="M11" s="506"/>
      <c r="N11" s="506"/>
      <c r="O11" s="506"/>
      <c r="P11" s="506"/>
      <c r="Q11" s="506"/>
      <c r="R11" s="514">
        <f>SUMIF(FBT!D:D, 'Form A Mapping'!H11,FBT!I:I)</f>
        <v>0</v>
      </c>
      <c r="S11" s="515">
        <f>SUMIF(FBT!D:D, 'Form A Mapping'!H11,FBT!J:J)</f>
        <v>1599240.5692641316</v>
      </c>
      <c r="T11" s="738"/>
      <c r="U11" s="514"/>
      <c r="V11" s="514"/>
      <c r="W11" s="515"/>
      <c r="X11" s="738"/>
      <c r="Y11" s="514"/>
      <c r="Z11" s="514"/>
      <c r="AA11" s="515"/>
      <c r="AB11" s="477">
        <f>SUMIF('FY24'!D:D,'Form A Mapping'!H11,'FY24'!AJ:AJ)</f>
        <v>0</v>
      </c>
      <c r="AC11" s="477">
        <f t="shared" si="1"/>
        <v>0</v>
      </c>
      <c r="AD11" s="477">
        <f>SUMIF('P&amp;L 1'!A:A, 'Form A Mapping'!H11,'P&amp;L 1'!B:B)</f>
        <v>0</v>
      </c>
      <c r="AE11" s="477">
        <f>SUMIF('P&amp;L 2'!A:A, 'Form A Mapping'!H11,'P&amp;L 2'!B:B)</f>
        <v>0</v>
      </c>
      <c r="AF11" s="477">
        <f>SUMIF('FY24'!D:D,'Form A Mapping'!H11,'FY24'!AK:AK)</f>
        <v>2024065.82</v>
      </c>
      <c r="AG11" s="477">
        <f t="shared" si="2"/>
        <v>1599240.5692641316</v>
      </c>
      <c r="AH11" s="477">
        <f>IFERROR(SUMIF('P&amp;L SR 1'!A:A,H11, INDEX( 'P&amp;L SR 1'!A:ZZ, 0, MATCH("TOTAL", 'P&amp;L SR 1'!$5:$5, 0))), 0)</f>
        <v>828604.3</v>
      </c>
      <c r="AI11" s="477">
        <f>IFERROR(SUMIF('P&amp;L SR 2'!A:A,H11, INDEX( 'P&amp;L SR 2'!A:ZZ, 0, MATCH("TOTAL", 'P&amp;L SR 2'!$5:$5, 0))), 0)</f>
        <v>766345.79</v>
      </c>
    </row>
    <row r="12" spans="1:35">
      <c r="A12" s="501">
        <v>2300</v>
      </c>
      <c r="B12" s="502">
        <f t="shared" si="0"/>
        <v>2399</v>
      </c>
      <c r="C12" s="502">
        <v>15</v>
      </c>
      <c r="D12" s="507" t="s">
        <v>611</v>
      </c>
      <c r="H12" s="508"/>
      <c r="I12" s="506"/>
      <c r="J12" s="506"/>
      <c r="K12" s="506"/>
      <c r="L12" s="506"/>
      <c r="M12" s="506"/>
      <c r="N12" s="506"/>
      <c r="O12" s="506"/>
      <c r="P12" s="506"/>
      <c r="Q12" s="506"/>
      <c r="R12" s="514"/>
      <c r="S12" s="515"/>
      <c r="T12" s="732"/>
      <c r="U12" s="506"/>
      <c r="V12" s="506"/>
      <c r="W12" s="733"/>
      <c r="X12" s="734" t="s">
        <v>4327</v>
      </c>
      <c r="Y12" s="506"/>
      <c r="Z12" s="739" t="s">
        <v>4328</v>
      </c>
      <c r="AA12" s="733"/>
      <c r="AB12" s="477">
        <f>SUMIF('FY24'!D:D,'Form A Mapping'!H12,'FY24'!AJ:AJ)</f>
        <v>0</v>
      </c>
      <c r="AC12" s="477">
        <f t="shared" si="1"/>
        <v>0</v>
      </c>
      <c r="AD12" s="477">
        <f>SUMIF('P&amp;L 1'!A:A, 'Form A Mapping'!H12,'P&amp;L 1'!B:B)</f>
        <v>0</v>
      </c>
      <c r="AE12" s="477">
        <f>SUMIF('P&amp;L 2'!A:A, 'Form A Mapping'!H12,'P&amp;L 2'!B:B)</f>
        <v>0</v>
      </c>
      <c r="AF12" s="477">
        <f>SUMIF('FY24'!D:D,'Form A Mapping'!H12,'FY24'!AK:AK)</f>
        <v>0</v>
      </c>
      <c r="AG12" s="477">
        <f t="shared" si="2"/>
        <v>0</v>
      </c>
      <c r="AH12" s="477">
        <f>IFERROR(SUMIF('P&amp;L SR 1'!A:A,H12, INDEX( 'P&amp;L SR 1'!A:ZZ, 0, MATCH("TOTAL", 'P&amp;L SR 1'!$5:$5, 0))), 0)</f>
        <v>0</v>
      </c>
      <c r="AI12" s="477">
        <f>IFERROR(SUMIF('P&amp;L SR 2'!A:A,H12, INDEX( 'P&amp;L SR 2'!A:ZZ, 0, MATCH("TOTAL", 'P&amp;L SR 2'!$5:$5, 0))), 0)</f>
        <v>0</v>
      </c>
    </row>
    <row r="13" spans="1:35">
      <c r="A13" s="501">
        <v>2400</v>
      </c>
      <c r="B13" s="502">
        <f t="shared" si="0"/>
        <v>2499</v>
      </c>
      <c r="C13" s="502">
        <v>16</v>
      </c>
      <c r="D13" s="509" t="s">
        <v>612</v>
      </c>
      <c r="H13" s="510">
        <v>6</v>
      </c>
      <c r="I13" s="506"/>
      <c r="J13" s="506"/>
      <c r="K13" s="506"/>
      <c r="L13" s="506"/>
      <c r="M13" s="506"/>
      <c r="N13" s="506"/>
      <c r="O13" s="506"/>
      <c r="P13" s="506"/>
      <c r="Q13" s="506"/>
      <c r="R13" s="514">
        <f>SUMIF(FBT!D:D, 'Form A Mapping'!H13,FBT!I:I)</f>
        <v>0</v>
      </c>
      <c r="S13" s="515">
        <f>SUMIF(FBT!D:D, 'Form A Mapping'!H13,FBT!J:J)</f>
        <v>0</v>
      </c>
      <c r="T13" s="735">
        <f>SUMIF('P&amp;L 1'!$A$30:$A$41,H13,'P&amp;L 1'!$E$30:$E$41)</f>
        <v>0</v>
      </c>
      <c r="U13" s="512">
        <f>T13/$T$34</f>
        <v>0</v>
      </c>
      <c r="V13" s="511">
        <f>U13*SUM('P&amp;L 1'!B88)</f>
        <v>0</v>
      </c>
      <c r="W13" s="515">
        <f>V13+T13</f>
        <v>0</v>
      </c>
      <c r="X13" s="736">
        <f>SUMIF('P&amp;L 2'!$A$32:$A$47,H13,'P&amp;L 2'!$E$32:$E$47)</f>
        <v>0</v>
      </c>
      <c r="Y13" s="512">
        <f>X13/$X$34</f>
        <v>0</v>
      </c>
      <c r="Z13" s="737">
        <f>Y13*SUM('P&amp;L 2'!$E$59)</f>
        <v>0</v>
      </c>
      <c r="AA13" s="515">
        <f>Z13+X13</f>
        <v>0</v>
      </c>
      <c r="AB13" s="477">
        <f>SUMIF('FY24'!D:D,'Form A Mapping'!H13,'FY24'!AJ:AJ)</f>
        <v>0</v>
      </c>
      <c r="AC13" s="477">
        <f t="shared" si="1"/>
        <v>0</v>
      </c>
      <c r="AD13" s="477">
        <f>SUMIF('P&amp;L 1'!A:A, 'Form A Mapping'!H13,'P&amp;L 1'!B:B)</f>
        <v>0</v>
      </c>
      <c r="AE13" s="477">
        <f>SUMIF('P&amp;L 2'!A:A, 'Form A Mapping'!H13,'P&amp;L 2'!B:B)+Z13</f>
        <v>0</v>
      </c>
      <c r="AF13" s="477">
        <f>SUMIF('FY24'!D:D,'Form A Mapping'!H13,'FY24'!AK:AK)</f>
        <v>0</v>
      </c>
      <c r="AG13" s="477">
        <f t="shared" si="2"/>
        <v>0</v>
      </c>
      <c r="AH13" s="477">
        <f>IFERROR(SUMIF('P&amp;L SR 1'!A:A,H13, INDEX( 'P&amp;L SR 1'!A:ZZ, 0, MATCH("TOTAL", 'P&amp;L SR 1'!$5:$5, 0))), 0)</f>
        <v>0</v>
      </c>
      <c r="AI13" s="477">
        <f>IFERROR(SUMIF('P&amp;L SR 2'!A:A,H13, INDEX( 'P&amp;L SR 2'!A:ZZ, 0, MATCH("TOTAL", 'P&amp;L SR 2'!$5:$5, 0))), 0)</f>
        <v>0</v>
      </c>
    </row>
    <row r="14" spans="1:35">
      <c r="A14" s="501">
        <v>2500</v>
      </c>
      <c r="B14" s="502">
        <f t="shared" si="0"/>
        <v>2599</v>
      </c>
      <c r="C14" s="502">
        <v>17</v>
      </c>
      <c r="D14" s="507" t="s">
        <v>613</v>
      </c>
      <c r="H14" s="510">
        <v>7</v>
      </c>
      <c r="I14" s="511">
        <f>SUMIF(FBT!$D$35:$D$63, 'Form A Mapping'!H14, FBT!$I$35:$I$63)</f>
        <v>251860</v>
      </c>
      <c r="J14" s="512">
        <f t="shared" ref="J14:J33" si="3">I14/SUM($I$14:$I$30)</f>
        <v>0.25238511587929752</v>
      </c>
      <c r="K14" s="511">
        <f>SUMIF(FBT!$D$35:$D$63, 'Form A Mapping'!H14, FBT!$J$35:$J$63)</f>
        <v>1000000</v>
      </c>
      <c r="L14" s="512">
        <f t="shared" ref="L14:L33" si="4">K14/SUM($K$14:$K$30)</f>
        <v>0.74775523877320282</v>
      </c>
      <c r="M14" s="513"/>
      <c r="N14" s="511">
        <f>J14*SUM(FBT!$I$66:$I$79)</f>
        <v>132330.14658282537</v>
      </c>
      <c r="O14" s="511">
        <f>J14*SUM(FBT!$J$66:$J$79)</f>
        <v>0</v>
      </c>
      <c r="P14" s="514">
        <f>N14+I14</f>
        <v>384190.14658282534</v>
      </c>
      <c r="Q14" s="514">
        <f>O14+K14</f>
        <v>1000000</v>
      </c>
      <c r="R14" s="514">
        <f>SUMIF(FBT!D:D, 'Form A Mapping'!H14,FBT!I:I)</f>
        <v>451860</v>
      </c>
      <c r="S14" s="515">
        <f>SUMIF(FBT!D:D, 'Form A Mapping'!H14,FBT!J:J)</f>
        <v>1000000</v>
      </c>
      <c r="T14" s="735">
        <f>SUMIF('P&amp;L 1'!$A$30:$A$41,H14,'P&amp;L 1'!$E$30:$E$41)</f>
        <v>497810.4</v>
      </c>
      <c r="U14" s="512">
        <f t="shared" ref="U14:U33" si="5">T14/$T$34</f>
        <v>0.48244905796181603</v>
      </c>
      <c r="V14" s="511">
        <f>U14*SUM('P&amp;L 1'!B89)</f>
        <v>0</v>
      </c>
      <c r="W14" s="515">
        <f t="shared" ref="W14:W33" si="6">V14+T14</f>
        <v>497810.4</v>
      </c>
      <c r="X14" s="736">
        <f>SUMIF('P&amp;L 2'!$A$32:$A$47,H14,'P&amp;L 2'!$E$32:$E$47)</f>
        <v>522303.67</v>
      </c>
      <c r="Y14" s="512">
        <f t="shared" ref="Y14:Y33" si="7">X14/$X$34</f>
        <v>0.48742870203790795</v>
      </c>
      <c r="Z14" s="737">
        <f>Y14*SUM('P&amp;L 2'!$E$59)</f>
        <v>108497.51030110609</v>
      </c>
      <c r="AA14" s="515">
        <f t="shared" ref="AA14:AA33" si="8">Z14+X14</f>
        <v>630801.18030110607</v>
      </c>
      <c r="AB14" s="477">
        <f>SUMIF('FY24'!D:D,'Form A Mapping'!H14,'FY24'!AJ:AJ)</f>
        <v>512975.15000000014</v>
      </c>
      <c r="AC14" s="477">
        <f t="shared" si="1"/>
        <v>584190.14658282534</v>
      </c>
      <c r="AD14" s="477">
        <f>SUMIF('P&amp;L 1'!A:A, 'Form A Mapping'!H14,'P&amp;L 1'!B:B)</f>
        <v>531390.24000000022</v>
      </c>
      <c r="AE14" s="477">
        <f>SUMIF('P&amp;L 2'!A:A, 'Form A Mapping'!H14,'P&amp;L 2'!B:B)+Z14</f>
        <v>377946.50030110608</v>
      </c>
      <c r="AF14" s="477">
        <f>SUMIF('FY24'!D:D,'Form A Mapping'!H14,'FY24'!AK:AK)</f>
        <v>679702</v>
      </c>
      <c r="AG14" s="477">
        <f t="shared" si="2"/>
        <v>1000000</v>
      </c>
      <c r="AH14" s="477">
        <f>IFERROR(SUMIF('P&amp;L SR 1'!A:A,H14, INDEX( 'P&amp;L SR 1'!A:ZZ, 0, MATCH("TOTAL", 'P&amp;L SR 1'!$5:$5, 0))), 0)</f>
        <v>152532.44</v>
      </c>
      <c r="AI14" s="477">
        <f>IFERROR(SUMIF('P&amp;L SR 2'!A:A,H14, INDEX( 'P&amp;L SR 2'!A:ZZ, 0, MATCH("TOTAL", 'P&amp;L SR 2'!$5:$5, 0))), 0)</f>
        <v>291424.19</v>
      </c>
    </row>
    <row r="15" spans="1:35">
      <c r="A15" s="501">
        <v>2600</v>
      </c>
      <c r="B15" s="502">
        <f t="shared" si="0"/>
        <v>2699</v>
      </c>
      <c r="C15" s="502">
        <v>18</v>
      </c>
      <c r="D15" s="507" t="s">
        <v>614</v>
      </c>
      <c r="H15" s="510">
        <v>8</v>
      </c>
      <c r="I15" s="511">
        <f>SUMIF(FBT!$D$35:$D$63, 'Form A Mapping'!H15, FBT!$I$35:$I$63)</f>
        <v>141460</v>
      </c>
      <c r="J15" s="512">
        <f t="shared" si="3"/>
        <v>0.14175493723610508</v>
      </c>
      <c r="K15" s="511">
        <f>SUMIF(FBT!$D$35:$D$63, 'Form A Mapping'!H15, FBT!$J$35:$J$63)</f>
        <v>0</v>
      </c>
      <c r="L15" s="512">
        <f t="shared" si="4"/>
        <v>0</v>
      </c>
      <c r="M15" s="513"/>
      <c r="N15" s="511">
        <f>J15*SUM(FBT!$I$66:$I$79)</f>
        <v>74324.714268269978</v>
      </c>
      <c r="O15" s="511">
        <f>J15*SUM(FBT!$J$66:$J$79)</f>
        <v>0</v>
      </c>
      <c r="P15" s="514">
        <f t="shared" ref="P15:P33" si="9">N15+I15</f>
        <v>215784.71426826998</v>
      </c>
      <c r="Q15" s="514">
        <f t="shared" ref="Q15:Q33" si="10">O15+K15</f>
        <v>0</v>
      </c>
      <c r="R15" s="514">
        <f>SUMIF(FBT!D:D, 'Form A Mapping'!H15,FBT!I:I)</f>
        <v>181210</v>
      </c>
      <c r="S15" s="515">
        <f>SUMIF(FBT!D:D, 'Form A Mapping'!H15,FBT!J:J)</f>
        <v>0</v>
      </c>
      <c r="T15" s="735">
        <f>SUMIF('P&amp;L 1'!$A$30:$A$41,H15,'P&amp;L 1'!$E$30:$E$41)</f>
        <v>109533.27</v>
      </c>
      <c r="U15" s="512">
        <f t="shared" si="5"/>
        <v>0.10615331243979083</v>
      </c>
      <c r="V15" s="511">
        <f>U15*SUM('P&amp;L 1'!B90)</f>
        <v>2.2079888987476495</v>
      </c>
      <c r="W15" s="515">
        <f t="shared" si="6"/>
        <v>109535.47798889875</v>
      </c>
      <c r="X15" s="736">
        <f>SUMIF('P&amp;L 2'!$A$32:$A$47,H15,'P&amp;L 2'!$E$32:$E$47)</f>
        <v>100671.70999999999</v>
      </c>
      <c r="Y15" s="512">
        <f t="shared" si="7"/>
        <v>9.3949714994797331E-2</v>
      </c>
      <c r="Z15" s="737">
        <f>Y15*SUM('P&amp;L 2'!$E$59)</f>
        <v>20912.412682750179</v>
      </c>
      <c r="AA15" s="515">
        <f t="shared" si="8"/>
        <v>121584.12268275017</v>
      </c>
      <c r="AB15" s="477">
        <f>SUMIF('FY24'!D:D,'Form A Mapping'!H15,'FY24'!AJ:AJ)</f>
        <v>118985.15999999999</v>
      </c>
      <c r="AC15" s="477">
        <f t="shared" si="1"/>
        <v>255534.71426826998</v>
      </c>
      <c r="AD15" s="477">
        <f>SUMIF('P&amp;L 1'!A:A, 'Form A Mapping'!H15,'P&amp;L 1'!B:B)</f>
        <v>130700.28</v>
      </c>
      <c r="AE15" s="477">
        <f>SUMIF('P&amp;L 2'!A:A, 'Form A Mapping'!H15,'P&amp;L 2'!B:B)+Z15</f>
        <v>91785.832682750159</v>
      </c>
      <c r="AF15" s="477">
        <f>SUMIF('FY24'!D:D,'Form A Mapping'!H15,'FY24'!AK:AK)</f>
        <v>71213</v>
      </c>
      <c r="AG15" s="477">
        <f t="shared" si="2"/>
        <v>0</v>
      </c>
      <c r="AH15" s="477">
        <f>IFERROR(SUMIF('P&amp;L SR 1'!A:A,H15, INDEX( 'P&amp;L SR 1'!A:ZZ, 0, MATCH("TOTAL", 'P&amp;L SR 1'!$5:$5, 0))), 0)</f>
        <v>25415.95</v>
      </c>
      <c r="AI15" s="477">
        <f>IFERROR(SUMIF('P&amp;L SR 2'!A:A,H15, INDEX( 'P&amp;L SR 2'!A:ZZ, 0, MATCH("TOTAL", 'P&amp;L SR 2'!$5:$5, 0))), 0)</f>
        <v>44742.19</v>
      </c>
    </row>
    <row r="16" spans="1:35">
      <c r="A16" s="501">
        <v>2700</v>
      </c>
      <c r="B16" s="502">
        <f t="shared" si="0"/>
        <v>2799</v>
      </c>
      <c r="C16" s="502">
        <v>19</v>
      </c>
      <c r="D16" s="507" t="s">
        <v>615</v>
      </c>
      <c r="H16" s="510">
        <v>9</v>
      </c>
      <c r="I16" s="511">
        <f>SUMIF(FBT!$D$35:$D$63, 'Form A Mapping'!H16, FBT!$I$35:$I$63)</f>
        <v>0</v>
      </c>
      <c r="J16" s="512">
        <f t="shared" si="3"/>
        <v>0</v>
      </c>
      <c r="K16" s="511">
        <f>SUMIF(FBT!$D$35:$D$63, 'Form A Mapping'!H16, FBT!$J$35:$J$63)</f>
        <v>0</v>
      </c>
      <c r="L16" s="512">
        <f t="shared" si="4"/>
        <v>0</v>
      </c>
      <c r="M16" s="513"/>
      <c r="N16" s="511">
        <f>J16*SUM(FBT!$I$66:$I$79)</f>
        <v>0</v>
      </c>
      <c r="O16" s="511">
        <f>J16*SUM(FBT!$J$66:$J$79)</f>
        <v>0</v>
      </c>
      <c r="P16" s="514">
        <f t="shared" si="9"/>
        <v>0</v>
      </c>
      <c r="Q16" s="514">
        <f t="shared" si="10"/>
        <v>0</v>
      </c>
      <c r="R16" s="514">
        <f>SUMIF(FBT!D:D, 'Form A Mapping'!H16,FBT!I:I)</f>
        <v>0</v>
      </c>
      <c r="S16" s="515">
        <f>SUMIF(FBT!D:D, 'Form A Mapping'!H16,FBT!J:J)</f>
        <v>0</v>
      </c>
      <c r="T16" s="735">
        <f>SUMIF('P&amp;L 1'!$A$30:$A$41,H16,'P&amp;L 1'!$E$30:$E$41)</f>
        <v>0</v>
      </c>
      <c r="U16" s="512">
        <f t="shared" si="5"/>
        <v>0</v>
      </c>
      <c r="V16" s="511">
        <f>U16*SUM('P&amp;L 1'!B91)</f>
        <v>0</v>
      </c>
      <c r="W16" s="515">
        <f t="shared" si="6"/>
        <v>0</v>
      </c>
      <c r="X16" s="736">
        <f>SUMIF('P&amp;L 2'!$A$32:$A$47,H16,'P&amp;L 2'!$E$32:$E$47)</f>
        <v>0</v>
      </c>
      <c r="Y16" s="512">
        <f t="shared" si="7"/>
        <v>0</v>
      </c>
      <c r="Z16" s="737">
        <f>Y16*SUM('P&amp;L 2'!$E$59)</f>
        <v>0</v>
      </c>
      <c r="AA16" s="515">
        <f t="shared" si="8"/>
        <v>0</v>
      </c>
      <c r="AB16" s="477">
        <f>SUMIF('FY24'!D:D,'Form A Mapping'!H16,'FY24'!AJ:AJ)</f>
        <v>0</v>
      </c>
      <c r="AC16" s="477">
        <f t="shared" si="1"/>
        <v>0</v>
      </c>
      <c r="AD16" s="477">
        <f>SUMIF('P&amp;L 1'!A:A, 'Form A Mapping'!H16,'P&amp;L 1'!B:B)</f>
        <v>0</v>
      </c>
      <c r="AE16" s="477">
        <f>SUMIF('P&amp;L 2'!A:A, 'Form A Mapping'!H16,'P&amp;L 2'!B:B)+Z16</f>
        <v>0</v>
      </c>
      <c r="AF16" s="477">
        <f>SUMIF('FY24'!D:D,'Form A Mapping'!H16,'FY24'!AK:AK)</f>
        <v>0</v>
      </c>
      <c r="AG16" s="477">
        <f t="shared" si="2"/>
        <v>0</v>
      </c>
      <c r="AH16" s="477">
        <f>IFERROR(SUMIF('P&amp;L SR 1'!A:A,H16, INDEX( 'P&amp;L SR 1'!A:ZZ, 0, MATCH("TOTAL", 'P&amp;L SR 1'!$5:$5, 0))), 0)</f>
        <v>0</v>
      </c>
      <c r="AI16" s="477">
        <f>IFERROR(SUMIF('P&amp;L SR 2'!A:A,H16, INDEX( 'P&amp;L SR 2'!A:ZZ, 0, MATCH("TOTAL", 'P&amp;L SR 2'!$5:$5, 0))), 0)</f>
        <v>0</v>
      </c>
    </row>
    <row r="17" spans="1:35">
      <c r="A17" s="501">
        <v>2800</v>
      </c>
      <c r="B17" s="502">
        <f t="shared" si="0"/>
        <v>2899</v>
      </c>
      <c r="C17" s="502">
        <v>20</v>
      </c>
      <c r="D17" s="507" t="s">
        <v>616</v>
      </c>
      <c r="H17" s="510">
        <v>10</v>
      </c>
      <c r="I17" s="511">
        <f>SUMIF(FBT!$D$35:$D$63, 'Form A Mapping'!H17, FBT!$I$35:$I$63)</f>
        <v>0</v>
      </c>
      <c r="J17" s="512">
        <f t="shared" si="3"/>
        <v>0</v>
      </c>
      <c r="K17" s="511">
        <f>SUMIF(FBT!$D$35:$D$63, 'Form A Mapping'!H17, FBT!$J$35:$J$63)</f>
        <v>0</v>
      </c>
      <c r="L17" s="512">
        <f t="shared" si="4"/>
        <v>0</v>
      </c>
      <c r="M17" s="513"/>
      <c r="N17" s="511">
        <f>J17*SUM(FBT!$I$66:$I$79)</f>
        <v>0</v>
      </c>
      <c r="O17" s="511">
        <f>J17*SUM(FBT!$J$66:$J$79)</f>
        <v>0</v>
      </c>
      <c r="P17" s="514">
        <f t="shared" si="9"/>
        <v>0</v>
      </c>
      <c r="Q17" s="514">
        <f t="shared" si="10"/>
        <v>0</v>
      </c>
      <c r="R17" s="514">
        <f>SUMIF(FBT!D:D, 'Form A Mapping'!H17,FBT!I:I)</f>
        <v>5000</v>
      </c>
      <c r="S17" s="515">
        <f>SUMIF(FBT!D:D, 'Form A Mapping'!H17,FBT!J:J)</f>
        <v>0</v>
      </c>
      <c r="T17" s="735">
        <f>SUMIF('P&amp;L 1'!$A$30:$A$41,H17,'P&amp;L 1'!$E$30:$E$41)</f>
        <v>0</v>
      </c>
      <c r="U17" s="512">
        <f t="shared" si="5"/>
        <v>0</v>
      </c>
      <c r="V17" s="511">
        <f>U17*SUM('P&amp;L 1'!B92)</f>
        <v>0</v>
      </c>
      <c r="W17" s="515">
        <f t="shared" si="6"/>
        <v>0</v>
      </c>
      <c r="X17" s="736">
        <f>SUMIF('P&amp;L 2'!$A$32:$A$47,H17,'P&amp;L 2'!$E$32:$E$47)</f>
        <v>0</v>
      </c>
      <c r="Y17" s="512">
        <f t="shared" si="7"/>
        <v>0</v>
      </c>
      <c r="Z17" s="737">
        <f>Y17*SUM('P&amp;L 2'!$E$59)</f>
        <v>0</v>
      </c>
      <c r="AA17" s="515">
        <f t="shared" si="8"/>
        <v>0</v>
      </c>
      <c r="AB17" s="477">
        <f>SUMIF('FY24'!D:D,'Form A Mapping'!H17,'FY24'!AJ:AJ)</f>
        <v>0</v>
      </c>
      <c r="AC17" s="477">
        <f t="shared" si="1"/>
        <v>5000</v>
      </c>
      <c r="AD17" s="477">
        <f>SUMIF('P&amp;L 1'!A:A, 'Form A Mapping'!H17,'P&amp;L 1'!B:B)</f>
        <v>0</v>
      </c>
      <c r="AE17" s="477">
        <f>SUMIF('P&amp;L 2'!A:A, 'Form A Mapping'!H17,'P&amp;L 2'!B:B)+Z17</f>
        <v>620.25</v>
      </c>
      <c r="AF17" s="477">
        <f>SUMIF('FY24'!D:D,'Form A Mapping'!H17,'FY24'!AK:AK)</f>
        <v>0</v>
      </c>
      <c r="AG17" s="477">
        <f t="shared" si="2"/>
        <v>0</v>
      </c>
      <c r="AH17" s="477">
        <f>IFERROR(SUMIF('P&amp;L SR 1'!A:A,H17, INDEX( 'P&amp;L SR 1'!A:ZZ, 0, MATCH("TOTAL", 'P&amp;L SR 1'!$5:$5, 0))), 0)</f>
        <v>0</v>
      </c>
      <c r="AI17" s="477">
        <f>IFERROR(SUMIF('P&amp;L SR 2'!A:A,H17, INDEX( 'P&amp;L SR 2'!A:ZZ, 0, MATCH("TOTAL", 'P&amp;L SR 2'!$5:$5, 0))), 0)</f>
        <v>0</v>
      </c>
    </row>
    <row r="18" spans="1:35">
      <c r="A18" s="501">
        <v>3100</v>
      </c>
      <c r="B18" s="502">
        <f t="shared" si="0"/>
        <v>3199</v>
      </c>
      <c r="C18" s="502">
        <v>21</v>
      </c>
      <c r="D18" s="507" t="s">
        <v>617</v>
      </c>
      <c r="H18" s="510">
        <v>11</v>
      </c>
      <c r="I18" s="511">
        <f>SUMIF(FBT!$D$35:$D$63, 'Form A Mapping'!H18, FBT!$I$35:$I$63)</f>
        <v>0</v>
      </c>
      <c r="J18" s="512">
        <f t="shared" si="3"/>
        <v>0</v>
      </c>
      <c r="K18" s="511">
        <f>SUMIF(FBT!$D$35:$D$63, 'Form A Mapping'!H18, FBT!$J$35:$J$63)</f>
        <v>0</v>
      </c>
      <c r="L18" s="512">
        <f t="shared" si="4"/>
        <v>0</v>
      </c>
      <c r="M18" s="513"/>
      <c r="N18" s="511">
        <f>J18*SUM(FBT!$I$66:$I$79)</f>
        <v>0</v>
      </c>
      <c r="O18" s="511">
        <f>J18*SUM(FBT!$J$66:$J$79)</f>
        <v>0</v>
      </c>
      <c r="P18" s="514">
        <f t="shared" si="9"/>
        <v>0</v>
      </c>
      <c r="Q18" s="514">
        <f t="shared" si="10"/>
        <v>0</v>
      </c>
      <c r="R18" s="514">
        <f>SUMIF(FBT!D:D, 'Form A Mapping'!H18,FBT!I:I)</f>
        <v>0</v>
      </c>
      <c r="S18" s="515">
        <f>SUMIF(FBT!D:D, 'Form A Mapping'!H18,FBT!J:J)</f>
        <v>0</v>
      </c>
      <c r="T18" s="735">
        <f>SUMIF('P&amp;L 1'!$A$30:$A$41,H18,'P&amp;L 1'!$E$30:$E$41)</f>
        <v>1471.13</v>
      </c>
      <c r="U18" s="512">
        <f t="shared" si="5"/>
        <v>1.425734140225609E-3</v>
      </c>
      <c r="V18" s="511">
        <f>U18*SUM('P&amp;L 1'!B93)</f>
        <v>24.581438745164782</v>
      </c>
      <c r="W18" s="515">
        <f t="shared" si="6"/>
        <v>1495.711438745165</v>
      </c>
      <c r="X18" s="736">
        <f>SUMIF('P&amp;L 2'!$A$32:$A$47,H18,'P&amp;L 2'!$E$32:$E$47)</f>
        <v>0</v>
      </c>
      <c r="Y18" s="512">
        <f t="shared" si="7"/>
        <v>0</v>
      </c>
      <c r="Z18" s="737">
        <f>Y18*SUM('P&amp;L 2'!$E$59)</f>
        <v>0</v>
      </c>
      <c r="AA18" s="515">
        <f t="shared" si="8"/>
        <v>0</v>
      </c>
      <c r="AB18" s="477">
        <f>SUMIF('FY24'!D:D,'Form A Mapping'!H18,'FY24'!AJ:AJ)</f>
        <v>0</v>
      </c>
      <c r="AC18" s="477">
        <f t="shared" si="1"/>
        <v>0</v>
      </c>
      <c r="AD18" s="477">
        <f>SUMIF('P&amp;L 1'!A:A, 'Form A Mapping'!H18,'P&amp;L 1'!B:B)</f>
        <v>1600.45</v>
      </c>
      <c r="AE18" s="477">
        <f>SUMIF('P&amp;L 2'!A:A, 'Form A Mapping'!H18,'P&amp;L 2'!B:B)+Z18</f>
        <v>0</v>
      </c>
      <c r="AF18" s="477">
        <f>SUMIF('FY24'!D:D,'Form A Mapping'!H18,'FY24'!AK:AK)</f>
        <v>0</v>
      </c>
      <c r="AG18" s="477">
        <f t="shared" si="2"/>
        <v>0</v>
      </c>
      <c r="AH18" s="477">
        <f>IFERROR(SUMIF('P&amp;L SR 1'!A:A,H18, INDEX( 'P&amp;L SR 1'!A:ZZ, 0, MATCH("TOTAL", 'P&amp;L SR 1'!$5:$5, 0))), 0)</f>
        <v>0</v>
      </c>
      <c r="AI18" s="477">
        <f>IFERROR(SUMIF('P&amp;L SR 2'!A:A,H18, INDEX( 'P&amp;L SR 2'!A:ZZ, 0, MATCH("TOTAL", 'P&amp;L SR 2'!$5:$5, 0))), 0)</f>
        <v>0</v>
      </c>
    </row>
    <row r="19" spans="1:35">
      <c r="A19" s="501">
        <v>3200</v>
      </c>
      <c r="B19" s="502">
        <f t="shared" si="0"/>
        <v>3299</v>
      </c>
      <c r="C19" s="502">
        <v>22</v>
      </c>
      <c r="D19" s="507" t="s">
        <v>618</v>
      </c>
      <c r="H19" s="510">
        <v>12</v>
      </c>
      <c r="I19" s="511">
        <f>SUMIF(FBT!$D$35:$D$63, 'Form A Mapping'!H19, FBT!$I$35:$I$63)</f>
        <v>0</v>
      </c>
      <c r="J19" s="512">
        <f t="shared" si="3"/>
        <v>0</v>
      </c>
      <c r="K19" s="511">
        <f>SUMIF(FBT!$D$35:$D$63, 'Form A Mapping'!H19, FBT!$J$35:$J$63)</f>
        <v>0</v>
      </c>
      <c r="L19" s="512">
        <f t="shared" si="4"/>
        <v>0</v>
      </c>
      <c r="M19" s="513"/>
      <c r="N19" s="511">
        <f>J19*SUM(FBT!$I$66:$I$79)</f>
        <v>0</v>
      </c>
      <c r="O19" s="511">
        <f>J19*SUM(FBT!$J$66:$J$79)</f>
        <v>0</v>
      </c>
      <c r="P19" s="514">
        <f t="shared" si="9"/>
        <v>0</v>
      </c>
      <c r="Q19" s="514">
        <f t="shared" si="10"/>
        <v>0</v>
      </c>
      <c r="R19" s="514">
        <f>SUMIF(FBT!D:D, 'Form A Mapping'!H19,FBT!I:I)</f>
        <v>0</v>
      </c>
      <c r="S19" s="515">
        <f>SUMIF(FBT!D:D, 'Form A Mapping'!H19,FBT!J:J)</f>
        <v>0</v>
      </c>
      <c r="T19" s="735">
        <f>SUMIF('P&amp;L 1'!$A$30:$A$41,H19,'P&amp;L 1'!$E$30:$E$41)</f>
        <v>0</v>
      </c>
      <c r="U19" s="512">
        <f t="shared" si="5"/>
        <v>0</v>
      </c>
      <c r="V19" s="511">
        <f>U19*SUM('P&amp;L 1'!B94)</f>
        <v>0</v>
      </c>
      <c r="W19" s="515">
        <f t="shared" si="6"/>
        <v>0</v>
      </c>
      <c r="X19" s="736">
        <f>SUMIF('P&amp;L 2'!$A$32:$A$47,H19,'P&amp;L 2'!$E$32:$E$47)</f>
        <v>0</v>
      </c>
      <c r="Y19" s="512">
        <f t="shared" si="7"/>
        <v>0</v>
      </c>
      <c r="Z19" s="737">
        <f>Y19*SUM('P&amp;L 2'!$E$59)</f>
        <v>0</v>
      </c>
      <c r="AA19" s="515">
        <f t="shared" si="8"/>
        <v>0</v>
      </c>
      <c r="AB19" s="477">
        <f>SUMIF('FY24'!D:D,'Form A Mapping'!H19,'FY24'!AJ:AJ)</f>
        <v>0</v>
      </c>
      <c r="AC19" s="477">
        <f t="shared" si="1"/>
        <v>0</v>
      </c>
      <c r="AD19" s="477">
        <f>SUMIF('P&amp;L 1'!A:A, 'Form A Mapping'!H19,'P&amp;L 1'!B:B)</f>
        <v>0</v>
      </c>
      <c r="AE19" s="477">
        <f>SUMIF('P&amp;L 2'!A:A, 'Form A Mapping'!H19,'P&amp;L 2'!B:B)+Z19</f>
        <v>0</v>
      </c>
      <c r="AF19" s="477">
        <f>SUMIF('FY24'!D:D,'Form A Mapping'!H19,'FY24'!AK:AK)</f>
        <v>0</v>
      </c>
      <c r="AG19" s="477">
        <f t="shared" si="2"/>
        <v>0</v>
      </c>
      <c r="AH19" s="477">
        <f>IFERROR(SUMIF('P&amp;L SR 1'!A:A,H19, INDEX( 'P&amp;L SR 1'!A:ZZ, 0, MATCH("TOTAL", 'P&amp;L SR 1'!$5:$5, 0))), 0)</f>
        <v>0</v>
      </c>
      <c r="AI19" s="477">
        <f>IFERROR(SUMIF('P&amp;L SR 2'!A:A,H19, INDEX( 'P&amp;L SR 2'!A:ZZ, 0, MATCH("TOTAL", 'P&amp;L SR 2'!$5:$5, 0))), 0)</f>
        <v>0</v>
      </c>
    </row>
    <row r="20" spans="1:35">
      <c r="A20" s="501">
        <v>3300</v>
      </c>
      <c r="B20" s="502">
        <f t="shared" si="0"/>
        <v>3399</v>
      </c>
      <c r="C20" s="502">
        <v>23</v>
      </c>
      <c r="D20" s="507" t="s">
        <v>619</v>
      </c>
      <c r="H20" s="510">
        <v>13</v>
      </c>
      <c r="I20" s="511">
        <f>SUMIF(FBT!$D$35:$D$63, 'Form A Mapping'!H20, FBT!$I$35:$I$63)</f>
        <v>0</v>
      </c>
      <c r="J20" s="512">
        <f t="shared" si="3"/>
        <v>0</v>
      </c>
      <c r="K20" s="511">
        <f>SUMIF(FBT!$D$35:$D$63, 'Form A Mapping'!H20, FBT!$J$35:$J$63)</f>
        <v>57936</v>
      </c>
      <c r="L20" s="512">
        <f t="shared" si="4"/>
        <v>4.3321947513564281E-2</v>
      </c>
      <c r="M20" s="513"/>
      <c r="N20" s="511">
        <f>J20*SUM(FBT!$I$66:$I$79)</f>
        <v>0</v>
      </c>
      <c r="O20" s="511">
        <f>J20*SUM(FBT!$J$66:$J$79)</f>
        <v>0</v>
      </c>
      <c r="P20" s="514">
        <f t="shared" si="9"/>
        <v>0</v>
      </c>
      <c r="Q20" s="514">
        <f t="shared" si="10"/>
        <v>57936</v>
      </c>
      <c r="R20" s="514">
        <f>SUMIF(FBT!D:D, 'Form A Mapping'!H20,FBT!I:I)</f>
        <v>92250</v>
      </c>
      <c r="S20" s="515">
        <f>SUMIF(FBT!D:D, 'Form A Mapping'!H20,FBT!J:J)</f>
        <v>57936</v>
      </c>
      <c r="T20" s="735">
        <f>SUMIF('P&amp;L 1'!$A$30:$A$41,H20,'P&amp;L 1'!$E$30:$E$41)</f>
        <v>77207.14</v>
      </c>
      <c r="U20" s="512">
        <f t="shared" si="5"/>
        <v>7.4824696231589466E-2</v>
      </c>
      <c r="V20" s="511">
        <f>U20*SUM('P&amp;L 1'!B95)</f>
        <v>2709.4942849222198</v>
      </c>
      <c r="W20" s="515">
        <f t="shared" si="6"/>
        <v>79916.634284922213</v>
      </c>
      <c r="X20" s="736">
        <f>SUMIF('P&amp;L 2'!$A$32:$A$47,H20,'P&amp;L 2'!$E$32:$E$47)</f>
        <v>77354.829999999987</v>
      </c>
      <c r="Y20" s="512">
        <f t="shared" si="7"/>
        <v>7.2189736639727262E-2</v>
      </c>
      <c r="Z20" s="737">
        <f>Y20*SUM('P&amp;L 2'!$E$59)</f>
        <v>16068.825372728681</v>
      </c>
      <c r="AA20" s="515">
        <f t="shared" si="8"/>
        <v>93423.655372728666</v>
      </c>
      <c r="AB20" s="477">
        <f>SUMIF('FY24'!D:D,'Form A Mapping'!H20,'FY24'!AJ:AJ)</f>
        <v>115072.53</v>
      </c>
      <c r="AC20" s="477">
        <f t="shared" si="1"/>
        <v>92250</v>
      </c>
      <c r="AD20" s="477">
        <f>SUMIF('P&amp;L 1'!A:A, 'Form A Mapping'!H20,'P&amp;L 1'!B:B)</f>
        <v>127295.81</v>
      </c>
      <c r="AE20" s="477">
        <f>SUMIF('P&amp;L 2'!A:A, 'Form A Mapping'!H20,'P&amp;L 2'!B:B)+Z20</f>
        <v>138944.45537272867</v>
      </c>
      <c r="AF20" s="477">
        <f>SUMIF('FY24'!D:D,'Form A Mapping'!H20,'FY24'!AK:AK)</f>
        <v>99032</v>
      </c>
      <c r="AG20" s="477">
        <f t="shared" si="2"/>
        <v>57936</v>
      </c>
      <c r="AH20" s="477">
        <f>IFERROR(SUMIF('P&amp;L SR 1'!A:A,H20, INDEX( 'P&amp;L SR 1'!A:ZZ, 0, MATCH("TOTAL", 'P&amp;L SR 1'!$5:$5, 0))), 0)</f>
        <v>0</v>
      </c>
      <c r="AI20" s="477">
        <f>IFERROR(SUMIF('P&amp;L SR 2'!A:A,H20, INDEX( 'P&amp;L SR 2'!A:ZZ, 0, MATCH("TOTAL", 'P&amp;L SR 2'!$5:$5, 0))), 0)</f>
        <v>0</v>
      </c>
    </row>
    <row r="21" spans="1:35">
      <c r="A21" s="501">
        <v>4000</v>
      </c>
      <c r="B21" s="502">
        <f t="shared" si="0"/>
        <v>4099</v>
      </c>
      <c r="C21" s="502">
        <v>24</v>
      </c>
      <c r="D21" s="516" t="s">
        <v>620</v>
      </c>
      <c r="H21" s="510">
        <v>14</v>
      </c>
      <c r="I21" s="511">
        <f>SUMIF(FBT!$D$35:$D$63, 'Form A Mapping'!H21, FBT!$I$35:$I$63)</f>
        <v>55850</v>
      </c>
      <c r="J21" s="512">
        <f t="shared" si="3"/>
        <v>5.5966444540057045E-2</v>
      </c>
      <c r="K21" s="511">
        <f>SUMIF(FBT!$D$35:$D$63, 'Form A Mapping'!H21, FBT!$J$35:$J$63)</f>
        <v>0</v>
      </c>
      <c r="L21" s="512">
        <f t="shared" si="4"/>
        <v>0</v>
      </c>
      <c r="M21" s="513"/>
      <c r="N21" s="511">
        <f>J21*SUM(FBT!$I$66:$I$79)</f>
        <v>29344.233648260135</v>
      </c>
      <c r="O21" s="511">
        <f>J21*SUM(FBT!$J$66:$J$79)</f>
        <v>0</v>
      </c>
      <c r="P21" s="514">
        <f t="shared" si="9"/>
        <v>85194.233648260139</v>
      </c>
      <c r="Q21" s="514">
        <f t="shared" si="10"/>
        <v>0</v>
      </c>
      <c r="R21" s="514">
        <f>SUMIF(FBT!D:D, 'Form A Mapping'!H21,FBT!I:I)</f>
        <v>310688</v>
      </c>
      <c r="S21" s="515">
        <f>SUMIF(FBT!D:D, 'Form A Mapping'!H21,FBT!J:J)</f>
        <v>16794</v>
      </c>
      <c r="T21" s="735">
        <f>SUMIF('P&amp;L 1'!$A$30:$A$41,H21,'P&amp;L 1'!$E$30:$E$41)</f>
        <v>42908.69</v>
      </c>
      <c r="U21" s="512">
        <f t="shared" si="5"/>
        <v>4.1584621512277764E-2</v>
      </c>
      <c r="V21" s="511">
        <f>U21*SUM('P&amp;L 1'!B96)</f>
        <v>317.6025468000214</v>
      </c>
      <c r="W21" s="515">
        <f t="shared" si="6"/>
        <v>43226.292546800025</v>
      </c>
      <c r="X21" s="736">
        <f>SUMIF('P&amp;L 2'!$A$32:$A$47,H21,'P&amp;L 2'!$E$32:$E$47)</f>
        <v>33970.01</v>
      </c>
      <c r="Y21" s="512">
        <f t="shared" si="7"/>
        <v>3.1701783528564433E-2</v>
      </c>
      <c r="Z21" s="737">
        <f>Y21*SUM('P&amp;L 2'!$E$59)</f>
        <v>7056.5491333876262</v>
      </c>
      <c r="AA21" s="515">
        <f t="shared" si="8"/>
        <v>41026.559133387629</v>
      </c>
      <c r="AB21" s="477">
        <f>SUMIF('FY24'!D:D,'Form A Mapping'!H21,'FY24'!AJ:AJ)</f>
        <v>242137</v>
      </c>
      <c r="AC21" s="477">
        <f t="shared" si="1"/>
        <v>340032.23364826012</v>
      </c>
      <c r="AD21" s="477">
        <f>SUMIF('P&amp;L 1'!A:A, 'Form A Mapping'!H21,'P&amp;L 1'!B:B)</f>
        <v>99720.790000000008</v>
      </c>
      <c r="AE21" s="477">
        <f>SUMIF('P&amp;L 2'!A:A, 'Form A Mapping'!H21,'P&amp;L 2'!B:B)+Z21</f>
        <v>52288.379133387636</v>
      </c>
      <c r="AF21" s="477">
        <f>SUMIF('FY24'!D:D,'Form A Mapping'!H21,'FY24'!AK:AK)</f>
        <v>327300.5</v>
      </c>
      <c r="AG21" s="477">
        <f t="shared" si="2"/>
        <v>16794</v>
      </c>
      <c r="AH21" s="477">
        <f>IFERROR(SUMIF('P&amp;L SR 1'!A:A,H21, INDEX( 'P&amp;L SR 1'!A:ZZ, 0, MATCH("TOTAL", 'P&amp;L SR 1'!$5:$5, 0))), 0)</f>
        <v>4769</v>
      </c>
      <c r="AI21" s="477">
        <f>IFERROR(SUMIF('P&amp;L SR 2'!A:A,H21, INDEX( 'P&amp;L SR 2'!A:ZZ, 0, MATCH("TOTAL", 'P&amp;L SR 2'!$5:$5, 0))), 0)</f>
        <v>6073.4</v>
      </c>
    </row>
    <row r="22" spans="1:35">
      <c r="A22" s="501">
        <v>5100</v>
      </c>
      <c r="B22" s="502">
        <f t="shared" si="0"/>
        <v>5199</v>
      </c>
      <c r="C22" s="502">
        <v>25</v>
      </c>
      <c r="D22" s="507" t="s">
        <v>621</v>
      </c>
      <c r="H22" s="510">
        <v>15</v>
      </c>
      <c r="I22" s="511">
        <f>SUMIF(FBT!$D$35:$D$63, 'Form A Mapping'!H22, FBT!$I$35:$I$63)</f>
        <v>0</v>
      </c>
      <c r="J22" s="512">
        <f t="shared" si="3"/>
        <v>0</v>
      </c>
      <c r="K22" s="511">
        <f>SUMIF(FBT!$D$35:$D$63, 'Form A Mapping'!H22, FBT!$J$35:$J$63)</f>
        <v>0</v>
      </c>
      <c r="L22" s="512">
        <f t="shared" si="4"/>
        <v>0</v>
      </c>
      <c r="M22" s="513"/>
      <c r="N22" s="511">
        <f>J22*SUM(FBT!$I$66:$I$79)</f>
        <v>0</v>
      </c>
      <c r="O22" s="511">
        <f>J22*SUM(FBT!$J$66:$J$79)</f>
        <v>0</v>
      </c>
      <c r="P22" s="514">
        <f t="shared" si="9"/>
        <v>0</v>
      </c>
      <c r="Q22" s="514">
        <f t="shared" si="10"/>
        <v>0</v>
      </c>
      <c r="R22" s="514">
        <f>SUMIF(FBT!D:D, 'Form A Mapping'!H22,FBT!I:I)</f>
        <v>110699</v>
      </c>
      <c r="S22" s="515">
        <f>SUMIF(FBT!D:D, 'Form A Mapping'!H22,FBT!J:J)</f>
        <v>0</v>
      </c>
      <c r="T22" s="735">
        <f>SUMIF('P&amp;L 1'!$A$30:$A$41,H22,'P&amp;L 1'!$E$30:$E$41)</f>
        <v>0</v>
      </c>
      <c r="U22" s="512">
        <f t="shared" si="5"/>
        <v>0</v>
      </c>
      <c r="V22" s="511">
        <f>U22*SUM('P&amp;L 1'!B97)</f>
        <v>0</v>
      </c>
      <c r="W22" s="515">
        <f t="shared" si="6"/>
        <v>0</v>
      </c>
      <c r="X22" s="736">
        <f>SUMIF('P&amp;L 2'!$A$32:$A$47,H22,'P&amp;L 2'!$E$32:$E$47)</f>
        <v>0</v>
      </c>
      <c r="Y22" s="512">
        <f t="shared" si="7"/>
        <v>0</v>
      </c>
      <c r="Z22" s="737">
        <f>Y22*SUM('P&amp;L 2'!$E$59)</f>
        <v>0</v>
      </c>
      <c r="AA22" s="515">
        <f t="shared" si="8"/>
        <v>0</v>
      </c>
      <c r="AB22" s="477">
        <f>SUMIF('FY24'!D:D,'Form A Mapping'!H22,'FY24'!AJ:AJ)</f>
        <v>84875.17</v>
      </c>
      <c r="AC22" s="477">
        <f t="shared" si="1"/>
        <v>110699</v>
      </c>
      <c r="AD22" s="477">
        <f>SUMIF('P&amp;L 1'!A:A, 'Form A Mapping'!H22,'P&amp;L 1'!B:B)</f>
        <v>25141.799999999996</v>
      </c>
      <c r="AE22" s="477">
        <f>SUMIF('P&amp;L 2'!A:A, 'Form A Mapping'!H22,'P&amp;L 2'!B:B)+Z22</f>
        <v>72379.98</v>
      </c>
      <c r="AF22" s="477">
        <f>SUMIF('FY24'!D:D,'Form A Mapping'!H22,'FY24'!AK:AK)</f>
        <v>0</v>
      </c>
      <c r="AG22" s="477">
        <f t="shared" si="2"/>
        <v>0</v>
      </c>
      <c r="AH22" s="477">
        <f>IFERROR(SUMIF('P&amp;L SR 1'!A:A,H22, INDEX( 'P&amp;L SR 1'!A:ZZ, 0, MATCH("TOTAL", 'P&amp;L SR 1'!$5:$5, 0))), 0)</f>
        <v>0</v>
      </c>
      <c r="AI22" s="477">
        <f>IFERROR(SUMIF('P&amp;L SR 2'!A:A,H22, INDEX( 'P&amp;L SR 2'!A:ZZ, 0, MATCH("TOTAL", 'P&amp;L SR 2'!$5:$5, 0))), 0)</f>
        <v>0</v>
      </c>
    </row>
    <row r="23" spans="1:35">
      <c r="A23" s="501">
        <v>5200</v>
      </c>
      <c r="B23" s="502">
        <f t="shared" si="0"/>
        <v>5299</v>
      </c>
      <c r="C23" s="502">
        <v>26</v>
      </c>
      <c r="D23" s="507" t="s">
        <v>622</v>
      </c>
      <c r="H23" s="510">
        <v>16</v>
      </c>
      <c r="I23" s="511">
        <f>SUMIF(FBT!$D$35:$D$63, 'Form A Mapping'!H23, FBT!$I$35:$I$63)</f>
        <v>430449.38650000002</v>
      </c>
      <c r="J23" s="512">
        <f t="shared" si="3"/>
        <v>0.4313468525846702</v>
      </c>
      <c r="K23" s="511">
        <f>SUMIF(FBT!$D$35:$D$63, 'Form A Mapping'!H23, FBT!$J$35:$J$63)</f>
        <v>279400</v>
      </c>
      <c r="L23" s="512">
        <f t="shared" si="4"/>
        <v>0.20892281371323287</v>
      </c>
      <c r="M23" s="513"/>
      <c r="N23" s="511">
        <f>J23*SUM(FBT!$I$66:$I$79)</f>
        <v>226163.06841909103</v>
      </c>
      <c r="O23" s="511">
        <f>J23*SUM(FBT!$J$66:$J$79)</f>
        <v>0</v>
      </c>
      <c r="P23" s="514">
        <f t="shared" si="9"/>
        <v>656612.45491909108</v>
      </c>
      <c r="Q23" s="514">
        <f t="shared" si="10"/>
        <v>279400</v>
      </c>
      <c r="R23" s="514">
        <f>SUMIF(FBT!D:D, 'Form A Mapping'!H23,FBT!I:I)</f>
        <v>754057.62567990297</v>
      </c>
      <c r="S23" s="515">
        <f>SUMIF(FBT!D:D, 'Form A Mapping'!H23,FBT!J:J)</f>
        <v>279400</v>
      </c>
      <c r="T23" s="735">
        <f>SUMIF('P&amp;L 1'!$A$30:$A$41,H23,'P&amp;L 1'!$E$30:$E$41)</f>
        <v>257898.09</v>
      </c>
      <c r="U23" s="512">
        <f t="shared" si="5"/>
        <v>0.24993991803034177</v>
      </c>
      <c r="V23" s="511">
        <f>U23*SUM('P&amp;L 1'!B98)</f>
        <v>7982.3361609333851</v>
      </c>
      <c r="W23" s="515">
        <f t="shared" si="6"/>
        <v>265880.42616093339</v>
      </c>
      <c r="X23" s="736">
        <f>SUMIF('P&amp;L 2'!$A$32:$A$47,H23,'P&amp;L 2'!$E$32:$E$47)</f>
        <v>290419.17000000004</v>
      </c>
      <c r="Y23" s="512">
        <f t="shared" si="7"/>
        <v>0.27102746392730986</v>
      </c>
      <c r="Z23" s="737">
        <f>Y23*SUM('P&amp;L 2'!$E$59)</f>
        <v>60328.423288148988</v>
      </c>
      <c r="AA23" s="515">
        <f t="shared" si="8"/>
        <v>350747.59328814904</v>
      </c>
      <c r="AB23" s="477">
        <f>SUMIF('FY24'!D:D,'Form A Mapping'!H23,'FY24'!AJ:AJ)</f>
        <v>523559.38000000006</v>
      </c>
      <c r="AC23" s="477">
        <f t="shared" si="1"/>
        <v>980220.69409899402</v>
      </c>
      <c r="AD23" s="477">
        <f>SUMIF('P&amp;L 1'!A:A, 'Form A Mapping'!H23,'P&amp;L 1'!B:B)</f>
        <v>355078.82999999996</v>
      </c>
      <c r="AE23" s="477">
        <f>SUMIF('P&amp;L 2'!A:A, 'Form A Mapping'!H23,'P&amp;L 2'!B:B)+Z23</f>
        <v>365931.52328814898</v>
      </c>
      <c r="AF23" s="477">
        <f>SUMIF('FY24'!D:D,'Form A Mapping'!H23,'FY24'!AK:AK)</f>
        <v>59009</v>
      </c>
      <c r="AG23" s="477">
        <f t="shared" si="2"/>
        <v>279400</v>
      </c>
      <c r="AH23" s="477">
        <f>IFERROR(SUMIF('P&amp;L SR 1'!A:A,H23, INDEX( 'P&amp;L SR 1'!A:ZZ, 0, MATCH("TOTAL", 'P&amp;L SR 1'!$5:$5, 0))), 0)</f>
        <v>3004.31</v>
      </c>
      <c r="AI23" s="477">
        <f>IFERROR(SUMIF('P&amp;L SR 2'!A:A,H23, INDEX( 'P&amp;L SR 2'!A:ZZ, 0, MATCH("TOTAL", 'P&amp;L SR 2'!$5:$5, 0))), 0)</f>
        <v>3333.1</v>
      </c>
    </row>
    <row r="24" spans="1:35">
      <c r="H24" s="510">
        <v>17</v>
      </c>
      <c r="I24" s="511">
        <f>SUMIF(FBT!$D$35:$D$63, 'Form A Mapping'!H24, FBT!$I$35:$I$63)</f>
        <v>0</v>
      </c>
      <c r="J24" s="512">
        <f t="shared" si="3"/>
        <v>0</v>
      </c>
      <c r="K24" s="511">
        <f>SUMIF(FBT!$D$35:$D$63, 'Form A Mapping'!H24, FBT!$J$35:$J$63)</f>
        <v>0</v>
      </c>
      <c r="L24" s="512">
        <f t="shared" si="4"/>
        <v>0</v>
      </c>
      <c r="M24" s="513"/>
      <c r="N24" s="511">
        <f>J24*SUM(FBT!$I$66:$I$79)</f>
        <v>0</v>
      </c>
      <c r="O24" s="511">
        <f>J24*SUM(FBT!$J$66:$J$79)</f>
        <v>0</v>
      </c>
      <c r="P24" s="514">
        <f t="shared" si="9"/>
        <v>0</v>
      </c>
      <c r="Q24" s="514">
        <f t="shared" si="10"/>
        <v>0</v>
      </c>
      <c r="R24" s="514">
        <f>SUMIF(FBT!D:D, 'Form A Mapping'!H24,FBT!I:I)</f>
        <v>96500</v>
      </c>
      <c r="S24" s="515">
        <f>SUMIF(FBT!D:D, 'Form A Mapping'!H24,FBT!J:J)</f>
        <v>0</v>
      </c>
      <c r="T24" s="735">
        <f>SUMIF('P&amp;L 1'!$A$30:$A$41,H24,'P&amp;L 1'!$E$30:$E$41)</f>
        <v>0</v>
      </c>
      <c r="U24" s="512">
        <f t="shared" si="5"/>
        <v>0</v>
      </c>
      <c r="V24" s="511">
        <f>U24*SUM('P&amp;L 1'!B99)</f>
        <v>0</v>
      </c>
      <c r="W24" s="515">
        <f t="shared" si="6"/>
        <v>0</v>
      </c>
      <c r="X24" s="736">
        <f>SUMIF('P&amp;L 2'!$A$32:$A$47,H24,'P&amp;L 2'!$E$32:$E$47)</f>
        <v>0</v>
      </c>
      <c r="Y24" s="512">
        <f t="shared" si="7"/>
        <v>0</v>
      </c>
      <c r="Z24" s="737">
        <f>Y24*SUM('P&amp;L 2'!$E$59)</f>
        <v>0</v>
      </c>
      <c r="AA24" s="515">
        <f t="shared" si="8"/>
        <v>0</v>
      </c>
      <c r="AB24" s="477">
        <f>SUMIF('FY24'!D:D,'Form A Mapping'!H24,'FY24'!AJ:AJ)</f>
        <v>11131.840000000002</v>
      </c>
      <c r="AC24" s="477">
        <f t="shared" si="1"/>
        <v>96500</v>
      </c>
      <c r="AD24" s="477">
        <f>SUMIF('P&amp;L 1'!A:A, 'Form A Mapping'!H24,'P&amp;L 1'!B:B)</f>
        <v>37407.259999999995</v>
      </c>
      <c r="AE24" s="477">
        <f>SUMIF('P&amp;L 2'!A:A, 'Form A Mapping'!H24,'P&amp;L 2'!B:B)+Z24</f>
        <v>47566.979999999996</v>
      </c>
      <c r="AF24" s="477">
        <f>SUMIF('FY24'!D:D,'Form A Mapping'!H24,'FY24'!AK:AK)</f>
        <v>71433.75</v>
      </c>
      <c r="AG24" s="477">
        <f t="shared" si="2"/>
        <v>0</v>
      </c>
      <c r="AH24" s="477">
        <f>IFERROR(SUMIF('P&amp;L SR 1'!A:A,H24, INDEX( 'P&amp;L SR 1'!A:ZZ, 0, MATCH("TOTAL", 'P&amp;L SR 1'!$5:$5, 0))), 0)</f>
        <v>9188</v>
      </c>
      <c r="AI24" s="477">
        <f>IFERROR(SUMIF('P&amp;L SR 2'!A:A,H24, INDEX( 'P&amp;L SR 2'!A:ZZ, 0, MATCH("TOTAL", 'P&amp;L SR 2'!$5:$5, 0))), 0)</f>
        <v>0</v>
      </c>
    </row>
    <row r="25" spans="1:35">
      <c r="H25" s="510">
        <v>18</v>
      </c>
      <c r="I25" s="511">
        <f>SUMIF(FBT!$D$35:$D$63, 'Form A Mapping'!H25, FBT!$I$35:$I$63)</f>
        <v>118300</v>
      </c>
      <c r="J25" s="512">
        <f t="shared" si="3"/>
        <v>0.11854664975987016</v>
      </c>
      <c r="K25" s="511">
        <f>SUMIF(FBT!$D$35:$D$63, 'Form A Mapping'!H25, FBT!$J$35:$J$63)</f>
        <v>0</v>
      </c>
      <c r="L25" s="512">
        <f t="shared" si="4"/>
        <v>0</v>
      </c>
      <c r="M25" s="513"/>
      <c r="N25" s="511">
        <f>J25*SUM(FBT!$I$66:$I$79)</f>
        <v>62156.183358803471</v>
      </c>
      <c r="O25" s="511">
        <f>J25*SUM(FBT!$J$66:$J$79)</f>
        <v>0</v>
      </c>
      <c r="P25" s="514">
        <f t="shared" si="9"/>
        <v>180456.18335880348</v>
      </c>
      <c r="Q25" s="514">
        <f t="shared" si="10"/>
        <v>0</v>
      </c>
      <c r="R25" s="514">
        <f>SUMIF(FBT!D:D, 'Form A Mapping'!H25,FBT!I:I)</f>
        <v>429339</v>
      </c>
      <c r="S25" s="515">
        <f>SUMIF(FBT!D:D, 'Form A Mapping'!H25,FBT!J:J)</f>
        <v>0</v>
      </c>
      <c r="T25" s="735">
        <f>SUMIF('P&amp;L 1'!$A$30:$A$41,H25,'P&amp;L 1'!$E$30:$E$41)</f>
        <v>45011.62</v>
      </c>
      <c r="U25" s="512">
        <f t="shared" si="5"/>
        <v>4.3622659683958467E-2</v>
      </c>
      <c r="V25" s="511">
        <f>U25*SUM('P&amp;L 1'!B100)</f>
        <v>1514.9473557013673</v>
      </c>
      <c r="W25" s="515">
        <f t="shared" si="6"/>
        <v>46526.567355701372</v>
      </c>
      <c r="X25" s="736">
        <f>SUMIF('P&amp;L 2'!$A$32:$A$47,H25,'P&amp;L 2'!$E$32:$E$47)</f>
        <v>46829.47</v>
      </c>
      <c r="Y25" s="512">
        <f t="shared" si="7"/>
        <v>4.3702598871693074E-2</v>
      </c>
      <c r="Z25" s="737">
        <f>Y25*SUM('P&amp;L 2'!$E$59)</f>
        <v>9727.8292218784118</v>
      </c>
      <c r="AA25" s="515">
        <f t="shared" si="8"/>
        <v>56557.299221878413</v>
      </c>
      <c r="AB25" s="477">
        <f>SUMIF('FY24'!D:D,'Form A Mapping'!H25,'FY24'!AJ:AJ)</f>
        <v>213447.97999999998</v>
      </c>
      <c r="AC25" s="477">
        <f t="shared" si="1"/>
        <v>491495.18335880345</v>
      </c>
      <c r="AD25" s="477">
        <f>SUMIF('P&amp;L 1'!A:A, 'Form A Mapping'!H25,'P&amp;L 1'!B:B)</f>
        <v>179869.89</v>
      </c>
      <c r="AE25" s="477">
        <f>SUMIF('P&amp;L 2'!A:A, 'Form A Mapping'!H25,'P&amp;L 2'!B:B)+Z25</f>
        <v>140469.47922187843</v>
      </c>
      <c r="AF25" s="477">
        <f>SUMIF('FY24'!D:D,'Form A Mapping'!H25,'FY24'!AK:AK)</f>
        <v>80855.579999999987</v>
      </c>
      <c r="AG25" s="477">
        <f t="shared" si="2"/>
        <v>0</v>
      </c>
      <c r="AH25" s="477">
        <f>IFERROR(SUMIF('P&amp;L SR 1'!A:A,H25, INDEX( 'P&amp;L SR 1'!A:ZZ, 0, MATCH("TOTAL", 'P&amp;L SR 1'!$5:$5, 0))), 0)</f>
        <v>0</v>
      </c>
      <c r="AI25" s="477">
        <f>IFERROR(SUMIF('P&amp;L SR 2'!A:A,H25, INDEX( 'P&amp;L SR 2'!A:ZZ, 0, MATCH("TOTAL", 'P&amp;L SR 2'!$5:$5, 0))), 0)</f>
        <v>0</v>
      </c>
    </row>
    <row r="26" spans="1:35">
      <c r="H26" s="510">
        <v>19</v>
      </c>
      <c r="I26" s="511">
        <f>SUMIF(FBT!$D$35:$D$63, 'Form A Mapping'!H26, FBT!$I$35:$I$63)</f>
        <v>0</v>
      </c>
      <c r="J26" s="512">
        <f t="shared" si="3"/>
        <v>0</v>
      </c>
      <c r="K26" s="511">
        <f>SUMIF(FBT!$D$35:$D$63, 'Form A Mapping'!H26, FBT!$J$35:$J$63)</f>
        <v>0</v>
      </c>
      <c r="L26" s="512">
        <f t="shared" si="4"/>
        <v>0</v>
      </c>
      <c r="M26" s="513"/>
      <c r="N26" s="511">
        <f>J26*SUM(FBT!$I$66:$I$79)</f>
        <v>0</v>
      </c>
      <c r="O26" s="511">
        <f>J26*SUM(FBT!$J$66:$J$79)</f>
        <v>0</v>
      </c>
      <c r="P26" s="514">
        <f t="shared" si="9"/>
        <v>0</v>
      </c>
      <c r="Q26" s="514">
        <f t="shared" si="10"/>
        <v>0</v>
      </c>
      <c r="R26" s="514">
        <f>SUMIF(FBT!D:D, 'Form A Mapping'!H26,FBT!I:I)</f>
        <v>351360</v>
      </c>
      <c r="S26" s="515">
        <f>SUMIF(FBT!D:D, 'Form A Mapping'!H26,FBT!J:J)</f>
        <v>0</v>
      </c>
      <c r="T26" s="735">
        <f>SUMIF('P&amp;L 1'!$A$30:$A$41,H26,'P&amp;L 1'!$E$30:$E$41)</f>
        <v>0</v>
      </c>
      <c r="U26" s="512">
        <f t="shared" si="5"/>
        <v>0</v>
      </c>
      <c r="V26" s="511">
        <f>U26*SUM('P&amp;L 1'!B101)</f>
        <v>0</v>
      </c>
      <c r="W26" s="515">
        <f t="shared" si="6"/>
        <v>0</v>
      </c>
      <c r="X26" s="736">
        <f>SUMIF('P&amp;L 2'!$A$32:$A$47,H26,'P&amp;L 2'!$E$32:$E$47)</f>
        <v>0</v>
      </c>
      <c r="Y26" s="512">
        <f t="shared" si="7"/>
        <v>0</v>
      </c>
      <c r="Z26" s="737">
        <f>Y26*SUM('P&amp;L 2'!$E$59)</f>
        <v>0</v>
      </c>
      <c r="AA26" s="515">
        <f t="shared" si="8"/>
        <v>0</v>
      </c>
      <c r="AB26" s="477">
        <f>SUMIF('FY24'!D:D,'Form A Mapping'!H26,'FY24'!AJ:AJ)</f>
        <v>94920.59</v>
      </c>
      <c r="AC26" s="477">
        <f t="shared" si="1"/>
        <v>351360</v>
      </c>
      <c r="AD26" s="477">
        <f>SUMIF('P&amp;L 1'!A:A, 'Form A Mapping'!H26,'P&amp;L 1'!B:B)</f>
        <v>85845.8</v>
      </c>
      <c r="AE26" s="477">
        <f>SUMIF('P&amp;L 2'!A:A, 'Form A Mapping'!H26,'P&amp;L 2'!B:B)+Z26</f>
        <v>169685.45</v>
      </c>
      <c r="AF26" s="477">
        <f>SUMIF('FY24'!D:D,'Form A Mapping'!H26,'FY24'!AK:AK)</f>
        <v>174385.52</v>
      </c>
      <c r="AG26" s="477">
        <f t="shared" si="2"/>
        <v>0</v>
      </c>
      <c r="AH26" s="477">
        <f>IFERROR(SUMIF('P&amp;L SR 1'!A:A,H26, INDEX( 'P&amp;L SR 1'!A:ZZ, 0, MATCH("TOTAL", 'P&amp;L SR 1'!$5:$5, 0))), 0)</f>
        <v>0</v>
      </c>
      <c r="AI26" s="477">
        <f>IFERROR(SUMIF('P&amp;L SR 2'!A:A,H26, INDEX( 'P&amp;L SR 2'!A:ZZ, 0, MATCH("TOTAL", 'P&amp;L SR 2'!$5:$5, 0))), 0)</f>
        <v>0</v>
      </c>
    </row>
    <row r="27" spans="1:35">
      <c r="H27" s="510">
        <v>20</v>
      </c>
      <c r="I27" s="511">
        <f>SUMIF(FBT!$D$35:$D$63, 'Form A Mapping'!H27, FBT!$I$35:$I$63)</f>
        <v>0</v>
      </c>
      <c r="J27" s="512">
        <f t="shared" si="3"/>
        <v>0</v>
      </c>
      <c r="K27" s="511">
        <f>SUMIF(FBT!$D$35:$D$63, 'Form A Mapping'!H27, FBT!$J$35:$J$63)</f>
        <v>0</v>
      </c>
      <c r="L27" s="512">
        <f t="shared" si="4"/>
        <v>0</v>
      </c>
      <c r="M27" s="513"/>
      <c r="N27" s="511">
        <f>J27*SUM(FBT!$I$66:$I$79)</f>
        <v>0</v>
      </c>
      <c r="O27" s="511">
        <f>J27*SUM(FBT!$J$66:$J$79)</f>
        <v>0</v>
      </c>
      <c r="P27" s="514">
        <f t="shared" si="9"/>
        <v>0</v>
      </c>
      <c r="Q27" s="514">
        <f t="shared" si="10"/>
        <v>0</v>
      </c>
      <c r="R27" s="514">
        <f>SUMIF(FBT!D:D, 'Form A Mapping'!H27,FBT!I:I)</f>
        <v>174750</v>
      </c>
      <c r="S27" s="515">
        <f>SUMIF(FBT!D:D, 'Form A Mapping'!H27,FBT!J:J)</f>
        <v>0</v>
      </c>
      <c r="T27" s="735">
        <f>SUMIF('P&amp;L 1'!$A$30:$A$41,H27,'P&amp;L 1'!$E$30:$E$41)</f>
        <v>0</v>
      </c>
      <c r="U27" s="512">
        <f t="shared" si="5"/>
        <v>0</v>
      </c>
      <c r="V27" s="511">
        <f>U27*SUM('P&amp;L 1'!B102)</f>
        <v>0</v>
      </c>
      <c r="W27" s="515">
        <f t="shared" si="6"/>
        <v>0</v>
      </c>
      <c r="X27" s="736">
        <f>SUMIF('P&amp;L 2'!$A$32:$A$47,H27,'P&amp;L 2'!$E$32:$E$47)</f>
        <v>0</v>
      </c>
      <c r="Y27" s="512">
        <f t="shared" si="7"/>
        <v>0</v>
      </c>
      <c r="Z27" s="737">
        <f>Y27*SUM('P&amp;L 2'!$E$59)</f>
        <v>0</v>
      </c>
      <c r="AA27" s="515">
        <f t="shared" si="8"/>
        <v>0</v>
      </c>
      <c r="AB27" s="477">
        <f>SUMIF('FY24'!D:D,'Form A Mapping'!H27,'FY24'!AJ:AJ)</f>
        <v>87572.360000000015</v>
      </c>
      <c r="AC27" s="477">
        <f t="shared" si="1"/>
        <v>174750</v>
      </c>
      <c r="AD27" s="477">
        <f>SUMIF('P&amp;L 1'!A:A, 'Form A Mapping'!H27,'P&amp;L 1'!B:B)</f>
        <v>108102.09</v>
      </c>
      <c r="AE27" s="477">
        <f>SUMIF('P&amp;L 2'!A:A, 'Form A Mapping'!H27,'P&amp;L 2'!B:B)+Z27</f>
        <v>113064.85</v>
      </c>
      <c r="AF27" s="477">
        <f>SUMIF('FY24'!D:D,'Form A Mapping'!H27,'FY24'!AK:AK)</f>
        <v>100257.41</v>
      </c>
      <c r="AG27" s="477">
        <f t="shared" si="2"/>
        <v>0</v>
      </c>
      <c r="AH27" s="477">
        <f>IFERROR(SUMIF('P&amp;L SR 1'!A:A,H27, INDEX( 'P&amp;L SR 1'!A:ZZ, 0, MATCH("TOTAL", 'P&amp;L SR 1'!$5:$5, 0))), 0)</f>
        <v>0</v>
      </c>
      <c r="AI27" s="477">
        <f>IFERROR(SUMIF('P&amp;L SR 2'!A:A,H27, INDEX( 'P&amp;L SR 2'!A:ZZ, 0, MATCH("TOTAL", 'P&amp;L SR 2'!$5:$5, 0))), 0)</f>
        <v>0</v>
      </c>
    </row>
    <row r="28" spans="1:35">
      <c r="H28" s="510">
        <v>21</v>
      </c>
      <c r="I28" s="511">
        <f>SUMIF(FBT!$D$35:$D$63, 'Form A Mapping'!H28, FBT!$I$35:$I$63)</f>
        <v>0</v>
      </c>
      <c r="J28" s="512">
        <f t="shared" si="3"/>
        <v>0</v>
      </c>
      <c r="K28" s="511">
        <f>SUMIF(FBT!$D$35:$D$63, 'Form A Mapping'!H28, FBT!$J$35:$J$63)</f>
        <v>0</v>
      </c>
      <c r="L28" s="512">
        <f t="shared" si="4"/>
        <v>0</v>
      </c>
      <c r="M28" s="513"/>
      <c r="N28" s="511">
        <f>J28*SUM(FBT!$I$66:$I$79)</f>
        <v>0</v>
      </c>
      <c r="O28" s="511">
        <f>J28*SUM(FBT!$J$66:$J$79)</f>
        <v>0</v>
      </c>
      <c r="P28" s="514">
        <f t="shared" si="9"/>
        <v>0</v>
      </c>
      <c r="Q28" s="514">
        <f t="shared" si="10"/>
        <v>0</v>
      </c>
      <c r="R28" s="514">
        <f>SUMIF(FBT!D:D, 'Form A Mapping'!H28,FBT!I:I)</f>
        <v>0</v>
      </c>
      <c r="S28" s="515">
        <f>SUMIF(FBT!D:D, 'Form A Mapping'!H28,FBT!J:J)</f>
        <v>267500</v>
      </c>
      <c r="T28" s="735">
        <f>SUMIF('P&amp;L 1'!$A$30:$A$41,H28,'P&amp;L 1'!$E$30:$E$41)</f>
        <v>0</v>
      </c>
      <c r="U28" s="512">
        <f t="shared" si="5"/>
        <v>0</v>
      </c>
      <c r="V28" s="511">
        <f>U28*SUM('P&amp;L 1'!B103)</f>
        <v>0</v>
      </c>
      <c r="W28" s="515">
        <f t="shared" si="6"/>
        <v>0</v>
      </c>
      <c r="X28" s="736">
        <f>SUMIF('P&amp;L 2'!$A$32:$A$47,H28,'P&amp;L 2'!$E$32:$E$47)</f>
        <v>0</v>
      </c>
      <c r="Y28" s="512">
        <f t="shared" si="7"/>
        <v>0</v>
      </c>
      <c r="Z28" s="737">
        <f>Y28*SUM('P&amp;L 2'!$E$59)</f>
        <v>0</v>
      </c>
      <c r="AA28" s="515">
        <f t="shared" si="8"/>
        <v>0</v>
      </c>
      <c r="AB28" s="477">
        <f>SUMIF('FY24'!D:D,'Form A Mapping'!H28,'FY24'!AJ:AJ)</f>
        <v>1019.86</v>
      </c>
      <c r="AC28" s="477">
        <f t="shared" si="1"/>
        <v>0</v>
      </c>
      <c r="AD28" s="477">
        <f>SUMIF('P&amp;L 1'!A:A, 'Form A Mapping'!H28,'P&amp;L 1'!B:B)</f>
        <v>7977.32</v>
      </c>
      <c r="AE28" s="477">
        <f>SUMIF('P&amp;L 2'!A:A, 'Form A Mapping'!H28,'P&amp;L 2'!B:B)+Z28</f>
        <v>72710.44</v>
      </c>
      <c r="AF28" s="477">
        <f>SUMIF('FY24'!D:D,'Form A Mapping'!H28,'FY24'!AK:AK)</f>
        <v>144882.23999999999</v>
      </c>
      <c r="AG28" s="477">
        <f t="shared" si="2"/>
        <v>267500</v>
      </c>
      <c r="AH28" s="477">
        <f>IFERROR(SUMIF('P&amp;L SR 1'!A:A,H28, INDEX( 'P&amp;L SR 1'!A:ZZ, 0, MATCH("TOTAL", 'P&amp;L SR 1'!$5:$5, 0))), 0)</f>
        <v>52290.81</v>
      </c>
      <c r="AI28" s="477">
        <f>IFERROR(SUMIF('P&amp;L SR 2'!A:A,H28, INDEX( 'P&amp;L SR 2'!A:ZZ, 0, MATCH("TOTAL", 'P&amp;L SR 2'!$5:$5, 0))), 0)</f>
        <v>65056.5</v>
      </c>
    </row>
    <row r="29" spans="1:35">
      <c r="H29" s="510">
        <v>22</v>
      </c>
      <c r="I29" s="511">
        <f>SUMIF(FBT!$D$35:$D$63, 'Form A Mapping'!H29, FBT!$I$35:$I$63)</f>
        <v>0</v>
      </c>
      <c r="J29" s="512">
        <f t="shared" si="3"/>
        <v>0</v>
      </c>
      <c r="K29" s="511">
        <f>SUMIF(FBT!$D$35:$D$63, 'Form A Mapping'!H29, FBT!$J$35:$J$63)</f>
        <v>0</v>
      </c>
      <c r="L29" s="512">
        <f t="shared" si="4"/>
        <v>0</v>
      </c>
      <c r="M29" s="513"/>
      <c r="N29" s="511">
        <f>J29*SUM(FBT!$I$66:$I$79)</f>
        <v>0</v>
      </c>
      <c r="O29" s="511">
        <f>J29*SUM(FBT!$J$66:$J$79)</f>
        <v>0</v>
      </c>
      <c r="P29" s="514">
        <f t="shared" si="9"/>
        <v>0</v>
      </c>
      <c r="Q29" s="514">
        <f t="shared" si="10"/>
        <v>0</v>
      </c>
      <c r="R29" s="514">
        <f>SUMIF(FBT!D:D, 'Form A Mapping'!H29,FBT!I:I)</f>
        <v>0</v>
      </c>
      <c r="S29" s="515">
        <f>SUMIF(FBT!D:D, 'Form A Mapping'!H29,FBT!J:J)</f>
        <v>0</v>
      </c>
      <c r="T29" s="735">
        <f>SUMIF('P&amp;L 1'!$A$30:$A$41,H29,'P&amp;L 1'!$E$30:$E$41)</f>
        <v>0</v>
      </c>
      <c r="U29" s="512">
        <f t="shared" si="5"/>
        <v>0</v>
      </c>
      <c r="V29" s="511">
        <f>U29*SUM('P&amp;L 1'!B104)</f>
        <v>0</v>
      </c>
      <c r="W29" s="515">
        <f t="shared" si="6"/>
        <v>0</v>
      </c>
      <c r="X29" s="736">
        <f>SUMIF('P&amp;L 2'!$A$32:$A$47,H29,'P&amp;L 2'!$E$32:$E$47)</f>
        <v>0</v>
      </c>
      <c r="Y29" s="512">
        <f t="shared" si="7"/>
        <v>0</v>
      </c>
      <c r="Z29" s="737">
        <f>Y29*SUM('P&amp;L 2'!$E$59)</f>
        <v>0</v>
      </c>
      <c r="AA29" s="515">
        <f t="shared" si="8"/>
        <v>0</v>
      </c>
      <c r="AB29" s="477">
        <f>SUMIF('FY24'!D:D,'Form A Mapping'!H29,'FY24'!AJ:AJ)</f>
        <v>0</v>
      </c>
      <c r="AC29" s="477">
        <f t="shared" si="1"/>
        <v>0</v>
      </c>
      <c r="AD29" s="477">
        <f>SUMIF('P&amp;L 1'!A:A, 'Form A Mapping'!H29,'P&amp;L 1'!B:B)</f>
        <v>0</v>
      </c>
      <c r="AE29" s="477">
        <f>SUMIF('P&amp;L 2'!A:A, 'Form A Mapping'!H29,'P&amp;L 2'!B:B)+Z29</f>
        <v>0</v>
      </c>
      <c r="AF29" s="477">
        <f>SUMIF('FY24'!D:D,'Form A Mapping'!H29,'FY24'!AK:AK)</f>
        <v>0</v>
      </c>
      <c r="AG29" s="477">
        <f t="shared" si="2"/>
        <v>0</v>
      </c>
      <c r="AH29" s="477">
        <f>IFERROR(SUMIF('P&amp;L SR 1'!A:A,H29, INDEX( 'P&amp;L SR 1'!A:ZZ, 0, MATCH("TOTAL", 'P&amp;L SR 1'!$5:$5, 0))), 0)</f>
        <v>0</v>
      </c>
      <c r="AI29" s="477">
        <f>IFERROR(SUMIF('P&amp;L SR 2'!A:A,H29, INDEX( 'P&amp;L SR 2'!A:ZZ, 0, MATCH("TOTAL", 'P&amp;L SR 2'!$5:$5, 0))), 0)</f>
        <v>0</v>
      </c>
    </row>
    <row r="30" spans="1:35">
      <c r="H30" s="510">
        <v>23</v>
      </c>
      <c r="I30" s="511">
        <f>SUMIF(FBT!$D$35:$D$63, 'Form A Mapping'!H30, FBT!$I$35:$I$63)</f>
        <v>0</v>
      </c>
      <c r="J30" s="512">
        <f t="shared" si="3"/>
        <v>0</v>
      </c>
      <c r="K30" s="511">
        <f>SUMIF(FBT!$D$35:$D$63, 'Form A Mapping'!H30, FBT!$J$35:$J$63)</f>
        <v>0</v>
      </c>
      <c r="L30" s="512">
        <f t="shared" si="4"/>
        <v>0</v>
      </c>
      <c r="M30" s="513"/>
      <c r="N30" s="511">
        <f>J30*SUM(FBT!$I$66:$I$79)</f>
        <v>0</v>
      </c>
      <c r="O30" s="511">
        <f>J30*SUM(FBT!$J$66:$J$79)</f>
        <v>0</v>
      </c>
      <c r="P30" s="514">
        <f t="shared" si="9"/>
        <v>0</v>
      </c>
      <c r="Q30" s="514">
        <f t="shared" si="10"/>
        <v>0</v>
      </c>
      <c r="R30" s="514">
        <f>SUMIF(FBT!D:D, 'Form A Mapping'!H30,FBT!I:I)</f>
        <v>0</v>
      </c>
      <c r="S30" s="515">
        <f>SUMIF(FBT!D:D, 'Form A Mapping'!H30,FBT!J:J)</f>
        <v>0</v>
      </c>
      <c r="T30" s="735">
        <f>SUMIF('P&amp;L 1'!$A$30:$A$41,H30,'P&amp;L 1'!$E$30:$E$41)</f>
        <v>0</v>
      </c>
      <c r="U30" s="512">
        <f t="shared" si="5"/>
        <v>0</v>
      </c>
      <c r="V30" s="511">
        <f>U30*SUM('P&amp;L 1'!B105)</f>
        <v>0</v>
      </c>
      <c r="W30" s="515">
        <f t="shared" si="6"/>
        <v>0</v>
      </c>
      <c r="X30" s="736">
        <f>SUMIF('P&amp;L 2'!$A$32:$A$47,H30,'P&amp;L 2'!$E$32:$E$47)</f>
        <v>0</v>
      </c>
      <c r="Y30" s="512">
        <f t="shared" si="7"/>
        <v>0</v>
      </c>
      <c r="Z30" s="737">
        <f>Y30*SUM('P&amp;L 2'!$E$59)</f>
        <v>0</v>
      </c>
      <c r="AA30" s="515">
        <f t="shared" si="8"/>
        <v>0</v>
      </c>
      <c r="AB30" s="477">
        <f>SUMIF('FY24'!D:D,'Form A Mapping'!H30,'FY24'!AJ:AJ)</f>
        <v>0</v>
      </c>
      <c r="AC30" s="477">
        <f t="shared" si="1"/>
        <v>0</v>
      </c>
      <c r="AD30" s="477">
        <f>SUMIF('P&amp;L 1'!A:A, 'Form A Mapping'!H30,'P&amp;L 1'!B:B)</f>
        <v>0</v>
      </c>
      <c r="AE30" s="477">
        <f>SUMIF('P&amp;L 2'!A:A, 'Form A Mapping'!H30,'P&amp;L 2'!B:B)+Z30</f>
        <v>0</v>
      </c>
      <c r="AF30" s="477">
        <f>SUMIF('FY24'!D:D,'Form A Mapping'!H30,'FY24'!AK:AK)</f>
        <v>0</v>
      </c>
      <c r="AG30" s="477">
        <f t="shared" si="2"/>
        <v>0</v>
      </c>
      <c r="AH30" s="477">
        <f>IFERROR(SUMIF('P&amp;L SR 1'!A:A,H30, INDEX( 'P&amp;L SR 1'!A:ZZ, 0, MATCH("TOTAL", 'P&amp;L SR 1'!$5:$5, 0))), 0)</f>
        <v>0</v>
      </c>
      <c r="AI30" s="477">
        <f>IFERROR(SUMIF('P&amp;L SR 2'!A:A,H30, INDEX( 'P&amp;L SR 2'!A:ZZ, 0, MATCH("TOTAL", 'P&amp;L SR 2'!$5:$5, 0))), 0)</f>
        <v>0</v>
      </c>
    </row>
    <row r="31" spans="1:35">
      <c r="H31" s="510">
        <v>24</v>
      </c>
      <c r="I31" s="511">
        <f>SUMIF(FBT!$D$35:$D$63, 'Form A Mapping'!H31, FBT!$I$35:$I$63)</f>
        <v>0</v>
      </c>
      <c r="J31" s="512">
        <f t="shared" si="3"/>
        <v>0</v>
      </c>
      <c r="K31" s="511">
        <f>SUMIF(FBT!$D$35:$D$63, 'Form A Mapping'!H31, FBT!$J$35:$J$63)</f>
        <v>0</v>
      </c>
      <c r="L31" s="512">
        <f t="shared" si="4"/>
        <v>0</v>
      </c>
      <c r="M31" s="513"/>
      <c r="N31" s="511">
        <f>J31*SUM(FBT!$I$66:$I$79)</f>
        <v>0</v>
      </c>
      <c r="O31" s="511">
        <f>J31*SUM(FBT!$J$66:$J$79)</f>
        <v>0</v>
      </c>
      <c r="P31" s="514">
        <f t="shared" si="9"/>
        <v>0</v>
      </c>
      <c r="Q31" s="514">
        <f t="shared" si="10"/>
        <v>0</v>
      </c>
      <c r="R31" s="514">
        <f>SUMIF(FBT!D:D, 'Form A Mapping'!H31,FBT!I:I)</f>
        <v>0</v>
      </c>
      <c r="S31" s="515">
        <f>SUMIF(FBT!D:D, 'Form A Mapping'!H31,FBT!J:J)</f>
        <v>0</v>
      </c>
      <c r="T31" s="735">
        <f>SUMIF('P&amp;L 1'!$A$30:$A$41,H31,'P&amp;L 1'!$E$30:$E$41)</f>
        <v>0</v>
      </c>
      <c r="U31" s="512">
        <f t="shared" si="5"/>
        <v>0</v>
      </c>
      <c r="V31" s="511">
        <f>U31*SUM('P&amp;L 1'!B106)</f>
        <v>0</v>
      </c>
      <c r="W31" s="515">
        <f t="shared" si="6"/>
        <v>0</v>
      </c>
      <c r="X31" s="736">
        <f>SUMIF('P&amp;L 2'!$A$32:$A$47,H31,'P&amp;L 2'!$E$32:$E$47)</f>
        <v>0</v>
      </c>
      <c r="Y31" s="512">
        <f t="shared" si="7"/>
        <v>0</v>
      </c>
      <c r="Z31" s="737">
        <f>Y31*SUM('P&amp;L 2'!$E$59)</f>
        <v>0</v>
      </c>
      <c r="AA31" s="515">
        <f t="shared" si="8"/>
        <v>0</v>
      </c>
      <c r="AB31" s="477">
        <f>SUMIF('FY24'!D:D,'Form A Mapping'!H31,'FY24'!AJ:AJ)</f>
        <v>0</v>
      </c>
      <c r="AC31" s="477">
        <f t="shared" si="1"/>
        <v>0</v>
      </c>
      <c r="AD31" s="477">
        <f>SUMIF('P&amp;L 1'!A:A, 'Form A Mapping'!H31,'P&amp;L 1'!B:B)</f>
        <v>0</v>
      </c>
      <c r="AE31" s="477">
        <f>SUMIF('P&amp;L 2'!A:A, 'Form A Mapping'!H31,'P&amp;L 2'!B:B)+Z31</f>
        <v>0</v>
      </c>
      <c r="AF31" s="477">
        <f>SUMIF('FY24'!D:D,'Form A Mapping'!H31,'FY24'!AK:AK)</f>
        <v>0</v>
      </c>
      <c r="AG31" s="477">
        <f t="shared" si="2"/>
        <v>0</v>
      </c>
      <c r="AH31" s="477">
        <f>IFERROR(SUMIF('P&amp;L SR 1'!A:A,H31, INDEX( 'P&amp;L SR 1'!A:ZZ, 0, MATCH("TOTAL", 'P&amp;L SR 1'!$5:$5, 0))), 0)</f>
        <v>0</v>
      </c>
      <c r="AI31" s="477">
        <f>IFERROR(SUMIF('P&amp;L SR 2'!A:A,H31, INDEX( 'P&amp;L SR 2'!A:ZZ, 0, MATCH("TOTAL", 'P&amp;L SR 2'!$5:$5, 0))), 0)</f>
        <v>0</v>
      </c>
    </row>
    <row r="32" spans="1:35">
      <c r="H32" s="510">
        <v>25</v>
      </c>
      <c r="I32" s="511">
        <f>SUMIF(FBT!$D$35:$D$63, 'Form A Mapping'!H32, FBT!$I$35:$I$63)</f>
        <v>0</v>
      </c>
      <c r="J32" s="512">
        <f t="shared" si="3"/>
        <v>0</v>
      </c>
      <c r="K32" s="511">
        <f>SUMIF(FBT!$D$35:$D$63, 'Form A Mapping'!H32, FBT!$J$35:$J$63)</f>
        <v>0</v>
      </c>
      <c r="L32" s="512">
        <f t="shared" si="4"/>
        <v>0</v>
      </c>
      <c r="M32" s="513"/>
      <c r="N32" s="511">
        <f>J32*SUM(FBT!$I$66:$I$79)</f>
        <v>0</v>
      </c>
      <c r="O32" s="511">
        <f>J32*SUM(FBT!$J$66:$J$79)</f>
        <v>0</v>
      </c>
      <c r="P32" s="514">
        <f t="shared" si="9"/>
        <v>0</v>
      </c>
      <c r="Q32" s="514">
        <f t="shared" si="10"/>
        <v>0</v>
      </c>
      <c r="R32" s="514">
        <f>SUMIF(FBT!D:D, 'Form A Mapping'!H32,FBT!I:I)</f>
        <v>0</v>
      </c>
      <c r="S32" s="515">
        <f>SUMIF(FBT!D:D, 'Form A Mapping'!H32,FBT!J:J)</f>
        <v>0</v>
      </c>
      <c r="T32" s="735">
        <f>SUMIF('P&amp;L 1'!$A$30:$A$41,H32,'P&amp;L 1'!$E$30:$E$41)</f>
        <v>0</v>
      </c>
      <c r="U32" s="512">
        <f t="shared" si="5"/>
        <v>0</v>
      </c>
      <c r="V32" s="511">
        <f>U32*SUM('P&amp;L 1'!B107)</f>
        <v>0</v>
      </c>
      <c r="W32" s="515">
        <f t="shared" si="6"/>
        <v>0</v>
      </c>
      <c r="X32" s="736">
        <f>SUMIF('P&amp;L 2'!$A$32:$A$47,H32,'P&amp;L 2'!$E$32:$E$47)</f>
        <v>0</v>
      </c>
      <c r="Y32" s="512">
        <f t="shared" si="7"/>
        <v>0</v>
      </c>
      <c r="Z32" s="737">
        <f>Y32*SUM('P&amp;L 2'!$E$59)</f>
        <v>0</v>
      </c>
      <c r="AA32" s="515">
        <f t="shared" si="8"/>
        <v>0</v>
      </c>
      <c r="AB32" s="477">
        <f>SUMIF('FY24'!D:D,'Form A Mapping'!H32,'FY24'!AJ:AJ)</f>
        <v>0</v>
      </c>
      <c r="AC32" s="477">
        <f t="shared" si="1"/>
        <v>0</v>
      </c>
      <c r="AD32" s="477">
        <f>SUMIF('P&amp;L 1'!A:A, 'Form A Mapping'!H32,'P&amp;L 1'!B:B)</f>
        <v>0</v>
      </c>
      <c r="AE32" s="477">
        <f>SUMIF('P&amp;L 2'!A:A, 'Form A Mapping'!H32,'P&amp;L 2'!B:B)+Z32</f>
        <v>0</v>
      </c>
      <c r="AF32" s="477">
        <f>SUMIF('FY24'!D:D,'Form A Mapping'!H32,'FY24'!AK:AK)</f>
        <v>0</v>
      </c>
      <c r="AG32" s="477">
        <f t="shared" si="2"/>
        <v>0</v>
      </c>
      <c r="AH32" s="477">
        <f>IFERROR(SUMIF('P&amp;L SR 1'!A:A,H32, INDEX( 'P&amp;L SR 1'!A:ZZ, 0, MATCH("TOTAL", 'P&amp;L SR 1'!$5:$5, 0))), 0)</f>
        <v>0</v>
      </c>
      <c r="AI32" s="477">
        <f>IFERROR(SUMIF('P&amp;L SR 2'!A:A,H32, INDEX( 'P&amp;L SR 2'!A:ZZ, 0, MATCH("TOTAL", 'P&amp;L SR 2'!$5:$5, 0))), 0)</f>
        <v>0</v>
      </c>
    </row>
    <row r="33" spans="8:35">
      <c r="H33" s="510">
        <v>26</v>
      </c>
      <c r="I33" s="511">
        <f>SUMIF(FBT!$D$35:$D$63, 'Form A Mapping'!H33, FBT!$I$35:$I$63)</f>
        <v>0</v>
      </c>
      <c r="J33" s="512">
        <f t="shared" si="3"/>
        <v>0</v>
      </c>
      <c r="K33" s="511">
        <f>SUMIF(FBT!$D$35:$D$63, 'Form A Mapping'!H33, FBT!$J$35:$J$63)</f>
        <v>0</v>
      </c>
      <c r="L33" s="512">
        <f t="shared" si="4"/>
        <v>0</v>
      </c>
      <c r="M33" s="513"/>
      <c r="N33" s="511">
        <f>J33*SUM(FBT!$I$66:$I$79)</f>
        <v>0</v>
      </c>
      <c r="O33" s="511">
        <f>J33*SUM(FBT!$J$66:$J$79)</f>
        <v>0</v>
      </c>
      <c r="P33" s="514">
        <f t="shared" si="9"/>
        <v>0</v>
      </c>
      <c r="Q33" s="514">
        <f t="shared" si="10"/>
        <v>0</v>
      </c>
      <c r="R33" s="514">
        <f>SUMIF(FBT!D:D, 'Form A Mapping'!H33,FBT!I:I)</f>
        <v>-185000</v>
      </c>
      <c r="S33" s="515">
        <f>SUMIF(FBT!D:D, 'Form A Mapping'!H33,FBT!J:J)</f>
        <v>0</v>
      </c>
      <c r="T33" s="735">
        <f>SUMIF('P&amp;L 1'!$A$30:$A$41,H33,'P&amp;L 1'!$E$30:$E$41)</f>
        <v>0</v>
      </c>
      <c r="U33" s="512">
        <f t="shared" si="5"/>
        <v>0</v>
      </c>
      <c r="V33" s="511">
        <f>U33*SUM('P&amp;L 1'!B108)</f>
        <v>0</v>
      </c>
      <c r="W33" s="515">
        <f t="shared" si="6"/>
        <v>0</v>
      </c>
      <c r="X33" s="736">
        <f>SUMIF('P&amp;L 2'!$A$32:$A$47,H33,'P&amp;L 2'!$E$32:$E$47)</f>
        <v>0</v>
      </c>
      <c r="Y33" s="512">
        <f t="shared" si="7"/>
        <v>0</v>
      </c>
      <c r="Z33" s="737">
        <f>Y33*SUM('P&amp;L 2'!$E$59)</f>
        <v>0</v>
      </c>
      <c r="AA33" s="515">
        <f t="shared" si="8"/>
        <v>0</v>
      </c>
      <c r="AB33" s="477">
        <f>SUMIF('FY24'!D:D,'Form A Mapping'!H33,'FY24'!AJ:AJ)</f>
        <v>-201494.82</v>
      </c>
      <c r="AC33" s="477">
        <f t="shared" si="1"/>
        <v>-185000</v>
      </c>
      <c r="AD33" s="477">
        <f>SUMIF('P&amp;L 1'!A:A, 'Form A Mapping'!H33,'P&amp;L 1'!B:B)</f>
        <v>-7331</v>
      </c>
      <c r="AE33" s="477">
        <f>SUMIF('P&amp;L 2'!A:A, 'Form A Mapping'!H33,'P&amp;L 2'!B:B)+Z33</f>
        <v>-29970</v>
      </c>
      <c r="AF33" s="477">
        <f>SUMIF('FY24'!D:D,'Form A Mapping'!H33,'FY24'!AK:AK)</f>
        <v>201494.82</v>
      </c>
      <c r="AG33" s="477">
        <f t="shared" si="2"/>
        <v>0</v>
      </c>
      <c r="AH33" s="477">
        <f>IFERROR(SUMIF('P&amp;L SR 1'!A:A,H33, INDEX( 'P&amp;L SR 1'!A:ZZ, 0, MATCH("TOTAL", 'P&amp;L SR 1'!$5:$5, 0))), 0)</f>
        <v>7331</v>
      </c>
      <c r="AI33" s="477">
        <f>IFERROR(SUMIF('P&amp;L SR 2'!A:A,H33, INDEX( 'P&amp;L SR 2'!A:ZZ, 0, MATCH("TOTAL", 'P&amp;L SR 2'!$5:$5, 0))), 0)</f>
        <v>29970</v>
      </c>
    </row>
    <row r="34" spans="8:35">
      <c r="H34" s="517"/>
      <c r="I34" s="518">
        <f t="shared" ref="I34:AB34" si="11">SUM(I14:I33)</f>
        <v>997919.38650000002</v>
      </c>
      <c r="J34" s="514">
        <f t="shared" si="11"/>
        <v>1</v>
      </c>
      <c r="K34" s="518">
        <f t="shared" si="11"/>
        <v>1337336</v>
      </c>
      <c r="L34" s="514">
        <f t="shared" si="11"/>
        <v>1</v>
      </c>
      <c r="M34" s="514">
        <f t="shared" si="11"/>
        <v>0</v>
      </c>
      <c r="N34" s="518">
        <f t="shared" si="11"/>
        <v>524318.34627724998</v>
      </c>
      <c r="O34" s="518">
        <f t="shared" si="11"/>
        <v>0</v>
      </c>
      <c r="P34" s="514">
        <f t="shared" si="11"/>
        <v>1522237.73277725</v>
      </c>
      <c r="Q34" s="514">
        <f t="shared" si="11"/>
        <v>1337336</v>
      </c>
      <c r="R34" s="514">
        <f t="shared" ref="R34" si="12">SUM(R14:R33)</f>
        <v>2772713.6256799027</v>
      </c>
      <c r="S34" s="515">
        <f t="shared" ref="S34" si="13">SUM(S14:S33)</f>
        <v>1621630</v>
      </c>
      <c r="T34" s="738">
        <f>SUM(T13:T33)</f>
        <v>1031840.3400000001</v>
      </c>
      <c r="U34" s="514">
        <f t="shared" ref="U34:AA34" si="14">SUM(U13:U33)</f>
        <v>1</v>
      </c>
      <c r="V34" s="514">
        <f t="shared" si="14"/>
        <v>12551.169776000906</v>
      </c>
      <c r="W34" s="515">
        <f t="shared" si="14"/>
        <v>1044391.5097760007</v>
      </c>
      <c r="X34" s="738">
        <f t="shared" si="14"/>
        <v>1071548.8600000001</v>
      </c>
      <c r="Y34" s="514">
        <f t="shared" si="14"/>
        <v>1</v>
      </c>
      <c r="Z34" s="514">
        <f t="shared" si="14"/>
        <v>222591.54999999996</v>
      </c>
      <c r="AA34" s="515">
        <f t="shared" si="14"/>
        <v>1294140.4100000001</v>
      </c>
      <c r="AB34" s="477">
        <f t="shared" si="11"/>
        <v>1804202.2000000007</v>
      </c>
      <c r="AC34" s="477">
        <f>SUM(AC14:AC33)</f>
        <v>3297031.9719571527</v>
      </c>
      <c r="AD34" s="477">
        <f t="shared" ref="AD34:AI34" si="15">SUM(AD14:AD33)</f>
        <v>1682799.5600000003</v>
      </c>
      <c r="AE34" s="477">
        <f t="shared" si="15"/>
        <v>1613424.1199999996</v>
      </c>
      <c r="AF34" s="477">
        <f t="shared" si="15"/>
        <v>2009565.82</v>
      </c>
      <c r="AG34" s="477">
        <f t="shared" si="15"/>
        <v>1621630</v>
      </c>
      <c r="AH34" s="477">
        <f>SUM(AH14:AH33)</f>
        <v>254531.51</v>
      </c>
      <c r="AI34" s="477">
        <f t="shared" si="15"/>
        <v>440599.38</v>
      </c>
    </row>
    <row r="35" spans="8:35" ht="16" thickBot="1">
      <c r="H35" s="519"/>
      <c r="I35" s="520"/>
      <c r="J35" s="520"/>
      <c r="K35" s="520"/>
      <c r="L35" s="520"/>
      <c r="M35" s="520"/>
      <c r="N35" s="520"/>
      <c r="O35" s="521" t="s">
        <v>623</v>
      </c>
      <c r="P35" s="522">
        <f>I34+N34</f>
        <v>1522237.73277725</v>
      </c>
      <c r="Q35" s="522">
        <f>K34+O34</f>
        <v>1337336</v>
      </c>
      <c r="R35" s="521"/>
      <c r="S35" s="523"/>
      <c r="T35" s="740"/>
      <c r="U35" s="521"/>
      <c r="V35" s="521"/>
      <c r="W35" s="523"/>
      <c r="X35" s="740"/>
      <c r="Y35" s="521"/>
      <c r="Z35" s="521"/>
      <c r="AA35" s="523"/>
      <c r="AB35" s="477"/>
      <c r="AC35" s="477"/>
      <c r="AD35" s="477"/>
      <c r="AE35" s="477"/>
      <c r="AF35" s="477"/>
      <c r="AG35" s="477"/>
      <c r="AH35" s="477"/>
      <c r="AI35" s="477"/>
    </row>
    <row r="37" spans="8:35" ht="16" thickBot="1"/>
    <row r="38" spans="8:35">
      <c r="AA38" s="524" t="s">
        <v>624</v>
      </c>
      <c r="AB38" s="525">
        <f>'Annual Budget '!F156</f>
        <v>1804202.2</v>
      </c>
      <c r="AC38" s="525">
        <f>'Annual Budget '!G156</f>
        <v>3297031.9719571527</v>
      </c>
      <c r="AD38" s="525">
        <f>'P&amp;L 1'!B145</f>
        <v>1682799.5600000003</v>
      </c>
      <c r="AE38" s="525"/>
      <c r="AF38" s="525">
        <f>'Annual Budget '!H156</f>
        <v>2009565.33</v>
      </c>
      <c r="AG38" s="525">
        <f>'Annual Budget '!I156</f>
        <v>1621630</v>
      </c>
      <c r="AH38" s="525">
        <f>'P&amp;L SR 1'!AA71</f>
        <v>254531.50999999998</v>
      </c>
      <c r="AI38" s="525"/>
    </row>
    <row r="39" spans="8:35">
      <c r="AA39" s="526" t="s">
        <v>625</v>
      </c>
      <c r="AB39" s="476">
        <f>AB34-AB38</f>
        <v>0</v>
      </c>
      <c r="AC39" s="476">
        <f t="shared" ref="AC39:AG39" si="16">AC34-AC38</f>
        <v>0</v>
      </c>
      <c r="AD39" s="476">
        <f t="shared" si="16"/>
        <v>0</v>
      </c>
      <c r="AE39" s="476">
        <f t="shared" si="16"/>
        <v>1613424.1199999996</v>
      </c>
      <c r="AF39" s="476">
        <f t="shared" si="16"/>
        <v>0.48999999999068677</v>
      </c>
      <c r="AG39" s="476">
        <f t="shared" si="16"/>
        <v>0</v>
      </c>
      <c r="AH39" s="476">
        <f>AH34-AH38</f>
        <v>0</v>
      </c>
      <c r="AI39" s="476"/>
    </row>
    <row r="40" spans="8:35">
      <c r="AA40" s="486" t="s">
        <v>626</v>
      </c>
      <c r="AB40" s="609">
        <f>'Annual Budget '!F85</f>
        <v>2130568.33</v>
      </c>
      <c r="AC40" s="609">
        <f>'Annual Budget '!G85</f>
        <v>3298784.2326921532</v>
      </c>
      <c r="AD40" s="609">
        <f>'P&amp;L 1'!B26</f>
        <v>1180905.56</v>
      </c>
      <c r="AE40" s="609"/>
      <c r="AF40" s="609">
        <f>'Annual Budget '!H85</f>
        <v>2024065.82</v>
      </c>
      <c r="AG40" s="609">
        <f>'Annual Budget '!I85</f>
        <v>1621630.2751464846</v>
      </c>
      <c r="AH40" s="609">
        <f>'P&amp;L SR 1'!AA20</f>
        <v>828604.3</v>
      </c>
      <c r="AI40" s="609"/>
    </row>
    <row r="41" spans="8:35" ht="16" thickBot="1">
      <c r="AA41" s="527" t="s">
        <v>625</v>
      </c>
      <c r="AB41" s="528">
        <f>AB40-SUM(AB7:AB13)</f>
        <v>0</v>
      </c>
      <c r="AC41" s="528">
        <f t="shared" ref="AC41:AG41" si="17">AC40-SUM(AC7:AC13)</f>
        <v>0</v>
      </c>
      <c r="AD41" s="528">
        <f t="shared" si="17"/>
        <v>0</v>
      </c>
      <c r="AE41" s="528">
        <f t="shared" si="17"/>
        <v>-1760554.54</v>
      </c>
      <c r="AF41" s="528">
        <f t="shared" si="17"/>
        <v>0</v>
      </c>
      <c r="AG41" s="528">
        <f t="shared" si="17"/>
        <v>0</v>
      </c>
      <c r="AH41" s="528">
        <f>AH40-SUM(AH7:AH13)</f>
        <v>0</v>
      </c>
      <c r="AI41" s="528"/>
    </row>
  </sheetData>
  <mergeCells count="34">
    <mergeCell ref="AH3:AH5"/>
    <mergeCell ref="AI3:AI5"/>
    <mergeCell ref="AB3:AB5"/>
    <mergeCell ref="AC3:AC5"/>
    <mergeCell ref="AD3:AD5"/>
    <mergeCell ref="AE3:AE5"/>
    <mergeCell ref="AF3:AF5"/>
    <mergeCell ref="AG3:AG5"/>
    <mergeCell ref="N3:N5"/>
    <mergeCell ref="O3:O5"/>
    <mergeCell ref="P3:P5"/>
    <mergeCell ref="Q3:Q5"/>
    <mergeCell ref="R3:R5"/>
    <mergeCell ref="S3:S5"/>
    <mergeCell ref="A1:D2"/>
    <mergeCell ref="H2:S2"/>
    <mergeCell ref="AB2:AE2"/>
    <mergeCell ref="AF2:AI2"/>
    <mergeCell ref="H3:H5"/>
    <mergeCell ref="I3:I5"/>
    <mergeCell ref="J3:J5"/>
    <mergeCell ref="K3:K5"/>
    <mergeCell ref="L3:L5"/>
    <mergeCell ref="M3:M5"/>
    <mergeCell ref="T2:W2"/>
    <mergeCell ref="X2:AA2"/>
    <mergeCell ref="T3:T5"/>
    <mergeCell ref="U3:U5"/>
    <mergeCell ref="V3:V5"/>
    <mergeCell ref="W3:W5"/>
    <mergeCell ref="X3:X5"/>
    <mergeCell ref="Y3:Y5"/>
    <mergeCell ref="Z3:Z5"/>
    <mergeCell ref="AA3:AA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9"/>
  <sheetViews>
    <sheetView workbookViewId="0"/>
  </sheetViews>
  <sheetFormatPr defaultColWidth="8.84375" defaultRowHeight="15.5"/>
  <cols>
    <col min="1" max="1" width="82" customWidth="1"/>
  </cols>
  <sheetData>
    <row r="1" spans="1:1">
      <c r="A1" s="115" t="s">
        <v>176</v>
      </c>
    </row>
    <row r="3" spans="1:1">
      <c r="A3" s="115" t="s">
        <v>175</v>
      </c>
    </row>
    <row r="4" spans="1:1">
      <c r="A4" s="115"/>
    </row>
    <row r="5" spans="1:1">
      <c r="A5" s="116" t="s">
        <v>174</v>
      </c>
    </row>
    <row r="6" spans="1:1">
      <c r="A6" s="116"/>
    </row>
    <row r="7" spans="1:1">
      <c r="A7" s="116" t="s">
        <v>182</v>
      </c>
    </row>
    <row r="8" spans="1:1">
      <c r="A8" s="116"/>
    </row>
    <row r="9" spans="1:1">
      <c r="A9" s="117" t="s">
        <v>183</v>
      </c>
    </row>
    <row r="10" spans="1:1">
      <c r="A10" s="117"/>
    </row>
    <row r="11" spans="1:1">
      <c r="A11" s="117" t="s">
        <v>184</v>
      </c>
    </row>
    <row r="12" spans="1:1">
      <c r="A12" s="117"/>
    </row>
    <row r="13" spans="1:1">
      <c r="A13" s="118" t="s">
        <v>210</v>
      </c>
    </row>
    <row r="14" spans="1:1">
      <c r="A14" s="116"/>
    </row>
    <row r="15" spans="1:1">
      <c r="A15" s="118" t="s">
        <v>185</v>
      </c>
    </row>
    <row r="16" spans="1:1">
      <c r="A16" s="116"/>
    </row>
    <row r="17" spans="1:1" ht="29">
      <c r="A17" s="119" t="s">
        <v>173</v>
      </c>
    </row>
    <row r="18" spans="1:1">
      <c r="A18" s="116"/>
    </row>
    <row r="19" spans="1:1">
      <c r="A19" s="116" t="s">
        <v>172</v>
      </c>
    </row>
    <row r="22" spans="1:1" ht="116">
      <c r="A22" s="120" t="s">
        <v>186</v>
      </c>
    </row>
    <row r="29" spans="1:1">
      <c r="A29" s="121"/>
    </row>
  </sheetData>
  <pageMargins left="0.7" right="0.7" top="0.75" bottom="0.75" header="0.3" footer="0.3"/>
  <pageSetup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codeName="Sheet5"/>
  <dimension ref="A1:N189"/>
  <sheetViews>
    <sheetView showGridLines="0" defaultGridColor="0" colorId="22" zoomScale="90" zoomScaleNormal="90" zoomScaleSheetLayoutView="90" workbookViewId="0">
      <pane xSplit="4" ySplit="10" topLeftCell="E149" activePane="bottomRight" state="frozen"/>
      <selection sqref="A1:XFD1048576"/>
      <selection pane="topRight" sqref="A1:XFD1048576"/>
      <selection pane="bottomLeft" sqref="A1:XFD1048576"/>
      <selection pane="bottomRight" activeCell="H159" sqref="H159"/>
    </sheetView>
  </sheetViews>
  <sheetFormatPr defaultColWidth="11.4609375" defaultRowHeight="15.5"/>
  <cols>
    <col min="1" max="1" width="3.23046875" customWidth="1"/>
    <col min="2" max="2" width="2" customWidth="1"/>
    <col min="3" max="3" width="2.53515625" customWidth="1"/>
    <col min="4" max="4" width="45.23046875" customWidth="1"/>
    <col min="5" max="5" width="13" bestFit="1" customWidth="1"/>
    <col min="6" max="6" width="12.53515625" customWidth="1"/>
    <col min="7" max="7" width="12.765625" customWidth="1"/>
    <col min="8" max="9" width="15" customWidth="1"/>
    <col min="10" max="11" width="12.23046875" customWidth="1"/>
    <col min="12" max="12" width="8.765625" customWidth="1"/>
    <col min="13" max="13" width="9.4609375" customWidth="1"/>
    <col min="14" max="14" width="54.765625" customWidth="1"/>
  </cols>
  <sheetData>
    <row r="1" spans="1:14" ht="39" customHeight="1">
      <c r="A1" s="834" t="s">
        <v>576</v>
      </c>
      <c r="B1" s="835"/>
      <c r="C1" s="835"/>
      <c r="D1" s="835"/>
      <c r="E1" s="835"/>
      <c r="F1" s="835"/>
      <c r="G1" s="835"/>
      <c r="H1" s="835"/>
      <c r="I1" s="835"/>
      <c r="J1" s="835"/>
      <c r="K1" s="835"/>
      <c r="L1" s="835"/>
      <c r="M1" s="835"/>
      <c r="N1" s="835"/>
    </row>
    <row r="2" spans="1:14" ht="29.25" customHeight="1" thickBot="1">
      <c r="A2" s="83"/>
      <c r="B2" s="83"/>
      <c r="C2" s="83"/>
      <c r="D2" s="83"/>
      <c r="E2" s="83"/>
      <c r="F2" s="83"/>
      <c r="G2" s="83"/>
      <c r="H2" s="83"/>
      <c r="I2" s="83"/>
      <c r="J2" s="83"/>
      <c r="K2" s="83"/>
      <c r="L2" s="83"/>
      <c r="M2" s="83"/>
      <c r="N2" s="48" t="s">
        <v>129</v>
      </c>
    </row>
    <row r="3" spans="1:14" ht="19.899999999999999" customHeight="1" thickTop="1" thickBot="1">
      <c r="A3" s="84"/>
      <c r="B3" s="85"/>
      <c r="C3" s="85"/>
      <c r="D3" s="85"/>
      <c r="E3" s="85"/>
      <c r="F3" s="85"/>
      <c r="G3" s="85"/>
      <c r="H3" s="85"/>
      <c r="I3" s="85"/>
      <c r="J3" s="83"/>
      <c r="K3" s="83"/>
      <c r="L3" s="83"/>
      <c r="M3" s="86" t="s">
        <v>574</v>
      </c>
      <c r="N3" s="422">
        <v>161</v>
      </c>
    </row>
    <row r="4" spans="1:14" ht="19.899999999999999" customHeight="1" thickTop="1" thickBot="1">
      <c r="A4" s="84"/>
      <c r="B4" s="85"/>
      <c r="C4" s="85"/>
      <c r="D4" s="85"/>
      <c r="E4" s="85"/>
      <c r="F4" s="85"/>
      <c r="G4" s="85"/>
      <c r="H4" s="85"/>
      <c r="I4" s="85"/>
      <c r="J4" s="83"/>
      <c r="K4" s="83"/>
      <c r="L4" s="83"/>
      <c r="M4" s="87" t="s">
        <v>575</v>
      </c>
      <c r="N4" s="422">
        <v>250</v>
      </c>
    </row>
    <row r="5" spans="1:14" ht="30" customHeight="1" thickTop="1" thickBot="1">
      <c r="A5" s="838" t="s">
        <v>0</v>
      </c>
      <c r="B5" s="839"/>
      <c r="C5" s="840"/>
      <c r="D5" s="464" t="s">
        <v>737</v>
      </c>
      <c r="E5" s="83"/>
      <c r="F5" s="83"/>
      <c r="G5" s="83"/>
      <c r="H5" s="836" t="s">
        <v>207</v>
      </c>
      <c r="I5" s="837"/>
      <c r="J5" s="83"/>
      <c r="K5" s="83"/>
      <c r="L5" s="83"/>
      <c r="M5" s="50"/>
      <c r="N5" s="128"/>
    </row>
    <row r="6" spans="1:14" ht="22.5" customHeight="1" thickTop="1">
      <c r="A6" s="88"/>
      <c r="B6" s="866" t="s">
        <v>1</v>
      </c>
      <c r="C6" s="866"/>
      <c r="D6" s="867"/>
      <c r="E6" s="878" t="s">
        <v>2</v>
      </c>
      <c r="F6" s="874" t="s">
        <v>26</v>
      </c>
      <c r="G6" s="875"/>
      <c r="H6" s="848" t="s">
        <v>128</v>
      </c>
      <c r="I6" s="849"/>
      <c r="J6" s="841" t="s">
        <v>134</v>
      </c>
      <c r="K6" s="842"/>
      <c r="L6" s="83"/>
      <c r="M6" s="47"/>
      <c r="N6" s="128"/>
    </row>
    <row r="7" spans="1:14" ht="10" customHeight="1" thickBot="1">
      <c r="A7" s="89"/>
      <c r="B7" s="868"/>
      <c r="C7" s="868"/>
      <c r="D7" s="869"/>
      <c r="E7" s="879"/>
      <c r="F7" s="876"/>
      <c r="G7" s="877"/>
      <c r="H7" s="850"/>
      <c r="I7" s="851"/>
      <c r="J7" s="843"/>
      <c r="K7" s="844"/>
      <c r="L7" s="83"/>
      <c r="M7" s="83"/>
      <c r="N7" s="83"/>
    </row>
    <row r="8" spans="1:14" ht="16.5" customHeight="1" thickTop="1">
      <c r="A8" s="89"/>
      <c r="B8" s="868"/>
      <c r="C8" s="868"/>
      <c r="D8" s="869"/>
      <c r="E8" s="863" t="s">
        <v>93</v>
      </c>
      <c r="F8" s="855" t="s">
        <v>572</v>
      </c>
      <c r="G8" s="858" t="s">
        <v>573</v>
      </c>
      <c r="H8" s="855" t="s">
        <v>572</v>
      </c>
      <c r="I8" s="858" t="s">
        <v>573</v>
      </c>
      <c r="J8" s="855" t="s">
        <v>572</v>
      </c>
      <c r="K8" s="858" t="s">
        <v>573</v>
      </c>
      <c r="L8" s="845" t="s">
        <v>70</v>
      </c>
      <c r="M8" s="852" t="s">
        <v>195</v>
      </c>
      <c r="N8" s="845" t="s">
        <v>103</v>
      </c>
    </row>
    <row r="9" spans="1:14" ht="15" customHeight="1">
      <c r="A9" s="89"/>
      <c r="B9" s="868"/>
      <c r="C9" s="868"/>
      <c r="D9" s="869"/>
      <c r="E9" s="864"/>
      <c r="F9" s="856"/>
      <c r="G9" s="859"/>
      <c r="H9" s="856"/>
      <c r="I9" s="859"/>
      <c r="J9" s="856"/>
      <c r="K9" s="859"/>
      <c r="L9" s="846"/>
      <c r="M9" s="853"/>
      <c r="N9" s="846"/>
    </row>
    <row r="10" spans="1:14" ht="25.5" customHeight="1" thickBot="1">
      <c r="A10" s="90"/>
      <c r="B10" s="870"/>
      <c r="C10" s="870"/>
      <c r="D10" s="871"/>
      <c r="E10" s="865"/>
      <c r="F10" s="857"/>
      <c r="G10" s="860"/>
      <c r="H10" s="857"/>
      <c r="I10" s="860"/>
      <c r="J10" s="857"/>
      <c r="K10" s="860"/>
      <c r="L10" s="847"/>
      <c r="M10" s="854"/>
      <c r="N10" s="847"/>
    </row>
    <row r="11" spans="1:14" ht="25.5" customHeight="1" thickTop="1">
      <c r="A11" s="369">
        <v>1</v>
      </c>
      <c r="B11" s="872" t="s">
        <v>91</v>
      </c>
      <c r="C11" s="873"/>
      <c r="D11" s="873"/>
      <c r="E11" s="139"/>
      <c r="F11" s="141"/>
      <c r="G11" s="140"/>
      <c r="H11" s="351"/>
      <c r="I11" s="140"/>
      <c r="J11" s="139"/>
      <c r="K11" s="139"/>
      <c r="L11" s="139"/>
      <c r="M11" s="139"/>
      <c r="N11" s="423"/>
    </row>
    <row r="12" spans="1:14" ht="18" customHeight="1">
      <c r="A12" s="370">
        <f>A11+1</f>
        <v>2</v>
      </c>
      <c r="B12" s="52" t="s">
        <v>41</v>
      </c>
      <c r="C12" s="52"/>
      <c r="D12" s="52"/>
      <c r="E12" s="91"/>
      <c r="F12" s="143"/>
      <c r="G12" s="142"/>
      <c r="H12" s="164"/>
      <c r="I12" s="142"/>
      <c r="J12" s="144"/>
      <c r="K12" s="144"/>
      <c r="L12" s="145"/>
      <c r="M12" s="145"/>
      <c r="N12" s="424"/>
    </row>
    <row r="13" spans="1:14">
      <c r="A13" s="371">
        <f>A12+1</f>
        <v>3</v>
      </c>
      <c r="B13" s="92"/>
      <c r="C13" s="55" t="s">
        <v>40</v>
      </c>
      <c r="D13" s="55"/>
      <c r="E13" s="15" t="s">
        <v>118</v>
      </c>
      <c r="F13" s="457">
        <f>SUMIF('FY24'!A:A, 'Annual Budget '!A13, 'FY24'!AJ:AJ)</f>
        <v>0</v>
      </c>
      <c r="G13" s="462">
        <f>SUMIF(FBT!B:B, 'Annual Budget '!A13, FBT!I:I)</f>
        <v>0</v>
      </c>
      <c r="H13" s="463">
        <f>SUMIF('FY24'!A:A, 'Annual Budget '!A13, 'FY24'!AK:AK)</f>
        <v>0</v>
      </c>
      <c r="I13" s="462">
        <f>SUMIF(FBT!B:B, 'Annual Budget '!A13, FBT!J:J)</f>
        <v>0</v>
      </c>
      <c r="J13" s="14">
        <f t="shared" ref="J13" si="0">H13+F13</f>
        <v>0</v>
      </c>
      <c r="K13" s="14">
        <f t="shared" ref="K13" si="1">I13+G13</f>
        <v>0</v>
      </c>
      <c r="L13" s="146">
        <f t="shared" ref="L13:L22" si="2">K13/$K$85</f>
        <v>0</v>
      </c>
      <c r="M13" s="146" t="str">
        <f>IFERROR(J13/K13,"")</f>
        <v/>
      </c>
      <c r="N13" s="425"/>
    </row>
    <row r="14" spans="1:14">
      <c r="A14" s="371">
        <f t="shared" ref="A14:A78" si="3">A13+1</f>
        <v>4</v>
      </c>
      <c r="B14" s="39"/>
      <c r="C14" s="40" t="s">
        <v>108</v>
      </c>
      <c r="D14" s="40"/>
      <c r="E14" s="2" t="s">
        <v>119</v>
      </c>
      <c r="F14" s="26"/>
      <c r="G14" s="161"/>
      <c r="H14" s="458"/>
      <c r="I14" s="462">
        <f>SUMIF(FBT!B:B, 'Annual Budget '!A14, FBT!J:J)</f>
        <v>0</v>
      </c>
      <c r="J14" s="3">
        <f t="shared" ref="J14:J39" si="4">H14+F14</f>
        <v>0</v>
      </c>
      <c r="K14" s="3">
        <f t="shared" ref="K14:K39" si="5">I14+G14</f>
        <v>0</v>
      </c>
      <c r="L14" s="158">
        <f t="shared" si="2"/>
        <v>0</v>
      </c>
      <c r="M14" s="158" t="str">
        <f t="shared" ref="M14:M22" si="6">IFERROR(J14/K14,"")</f>
        <v/>
      </c>
      <c r="N14" s="426"/>
    </row>
    <row r="15" spans="1:14">
      <c r="A15" s="371">
        <f t="shared" si="3"/>
        <v>5</v>
      </c>
      <c r="B15" s="39"/>
      <c r="C15" s="40" t="s">
        <v>42</v>
      </c>
      <c r="D15" s="40"/>
      <c r="E15" s="2">
        <v>1920</v>
      </c>
      <c r="F15" s="457">
        <f>SUMIF('FY24'!A:A, 'Annual Budget '!A15, 'FY24'!AJ:AJ)</f>
        <v>0</v>
      </c>
      <c r="G15" s="462">
        <f>SUMIF(FBT!B:B, 'Annual Budget '!A15, FBT!I:I)</f>
        <v>0</v>
      </c>
      <c r="H15" s="463">
        <f>SUMIF('FY24'!A:A, 'Annual Budget '!A15, 'FY24'!AK:AK)</f>
        <v>0</v>
      </c>
      <c r="I15" s="462">
        <f>SUMIF(FBT!B:B, 'Annual Budget '!A15, FBT!J:J)</f>
        <v>0</v>
      </c>
      <c r="J15" s="3">
        <f t="shared" si="4"/>
        <v>0</v>
      </c>
      <c r="K15" s="3">
        <f t="shared" si="5"/>
        <v>0</v>
      </c>
      <c r="L15" s="158">
        <f t="shared" si="2"/>
        <v>0</v>
      </c>
      <c r="M15" s="158" t="str">
        <f t="shared" si="6"/>
        <v/>
      </c>
      <c r="N15" s="427"/>
    </row>
    <row r="16" spans="1:14">
      <c r="A16" s="371">
        <f t="shared" si="3"/>
        <v>6</v>
      </c>
      <c r="B16" s="39"/>
      <c r="C16" s="40" t="s">
        <v>109</v>
      </c>
      <c r="D16" s="40"/>
      <c r="E16" s="2">
        <v>1993</v>
      </c>
      <c r="F16" s="457">
        <f>SUMIF('FY24'!A:A, 'Annual Budget '!A16, 'FY24'!AJ:AJ)</f>
        <v>0</v>
      </c>
      <c r="G16" s="462">
        <f>SUMIF(FBT!B:B, 'Annual Budget '!A16, FBT!I:I)</f>
        <v>0</v>
      </c>
      <c r="H16" s="463">
        <f>SUMIF('FY24'!A:A, 'Annual Budget '!A16, 'FY24'!AK:AK)</f>
        <v>0</v>
      </c>
      <c r="I16" s="462">
        <f>SUMIF(FBT!B:B, 'Annual Budget '!A16, FBT!J:J)</f>
        <v>0</v>
      </c>
      <c r="J16" s="3">
        <f t="shared" si="4"/>
        <v>0</v>
      </c>
      <c r="K16" s="3">
        <f t="shared" si="5"/>
        <v>0</v>
      </c>
      <c r="L16" s="158">
        <f t="shared" si="2"/>
        <v>0</v>
      </c>
      <c r="M16" s="158" t="str">
        <f t="shared" si="6"/>
        <v/>
      </c>
      <c r="N16" s="428"/>
    </row>
    <row r="17" spans="1:14">
      <c r="A17" s="371">
        <f t="shared" si="3"/>
        <v>7</v>
      </c>
      <c r="B17" s="39"/>
      <c r="C17" s="40" t="s">
        <v>130</v>
      </c>
      <c r="D17" s="40"/>
      <c r="E17" s="2">
        <v>1994</v>
      </c>
      <c r="F17" s="457">
        <f>SUMIF('FY24'!A:A, 'Annual Budget '!A17, 'FY24'!AJ:AJ)</f>
        <v>1267230</v>
      </c>
      <c r="G17" s="462">
        <f>SUMIF(FBT!B:B, 'Annual Budget '!A17, FBT!I:I)</f>
        <v>1949250</v>
      </c>
      <c r="H17" s="463">
        <f>SUMIF('FY24'!A:A, 'Annual Budget '!A17, 'FY24'!AK:AK)</f>
        <v>0</v>
      </c>
      <c r="I17" s="462">
        <f>SUMIF(FBT!B:B, 'Annual Budget '!A17, FBT!J:J)</f>
        <v>0</v>
      </c>
      <c r="J17" s="3">
        <f t="shared" si="4"/>
        <v>1267230</v>
      </c>
      <c r="K17" s="3">
        <f t="shared" si="5"/>
        <v>1949250</v>
      </c>
      <c r="L17" s="158">
        <f t="shared" si="2"/>
        <v>0.39615564845089363</v>
      </c>
      <c r="M17" s="158">
        <f t="shared" si="6"/>
        <v>0.65011158137745284</v>
      </c>
      <c r="N17" s="429"/>
    </row>
    <row r="18" spans="1:14">
      <c r="A18" s="371">
        <f t="shared" si="3"/>
        <v>8</v>
      </c>
      <c r="B18" s="39"/>
      <c r="C18" s="40" t="s">
        <v>206</v>
      </c>
      <c r="D18" s="40"/>
      <c r="E18" s="2" t="s">
        <v>102</v>
      </c>
      <c r="F18" s="457">
        <f>SUMIF('FY24'!A:A, 'Annual Budget '!A18, 'FY24'!AJ:AJ)</f>
        <v>32822.33</v>
      </c>
      <c r="G18" s="462">
        <f>SUMIF(FBT!B:B, 'Annual Budget '!A18, FBT!I:I)</f>
        <v>5218</v>
      </c>
      <c r="H18" s="463">
        <f>SUMIF('FY24'!A:A, 'Annual Budget '!A18, 'FY24'!AK:AK)</f>
        <v>0</v>
      </c>
      <c r="I18" s="462">
        <f>SUMIF(FBT!B:B, 'Annual Budget '!A18, FBT!J:J)</f>
        <v>0</v>
      </c>
      <c r="J18" s="3">
        <f t="shared" si="4"/>
        <v>32822.33</v>
      </c>
      <c r="K18" s="3">
        <f t="shared" si="5"/>
        <v>5218</v>
      </c>
      <c r="L18" s="158">
        <f t="shared" si="2"/>
        <v>1.0604797607370849E-3</v>
      </c>
      <c r="M18" s="158">
        <f t="shared" si="6"/>
        <v>6.2902127251820623</v>
      </c>
      <c r="N18" s="426"/>
    </row>
    <row r="19" spans="1:14">
      <c r="A19" s="371">
        <f t="shared" si="3"/>
        <v>9</v>
      </c>
      <c r="B19" s="456"/>
      <c r="C19" s="446" t="s">
        <v>181</v>
      </c>
      <c r="D19" s="446"/>
      <c r="E19" s="448"/>
      <c r="F19" s="457">
        <f>SUMIF('FY24'!A:A, 'Annual Budget '!A19, 'FY24'!AJ:AJ)</f>
        <v>0</v>
      </c>
      <c r="G19" s="462">
        <f>SUMIF(FBT!B:B, 'Annual Budget '!A19, FBT!I:I)</f>
        <v>0</v>
      </c>
      <c r="H19" s="463">
        <f>SUMIF('FY24'!A:A, 'Annual Budget '!A19, 'FY24'!AK:AK)</f>
        <v>0</v>
      </c>
      <c r="I19" s="462">
        <f>SUMIF(FBT!B:B, 'Annual Budget '!A19, FBT!J:J)</f>
        <v>0</v>
      </c>
      <c r="J19" s="3">
        <f t="shared" si="4"/>
        <v>0</v>
      </c>
      <c r="K19" s="3">
        <f t="shared" si="5"/>
        <v>0</v>
      </c>
      <c r="L19" s="158">
        <f t="shared" si="2"/>
        <v>0</v>
      </c>
      <c r="M19" s="158" t="str">
        <f t="shared" si="6"/>
        <v/>
      </c>
      <c r="N19" s="426"/>
    </row>
    <row r="20" spans="1:14">
      <c r="A20" s="371">
        <f t="shared" si="3"/>
        <v>10</v>
      </c>
      <c r="B20" s="459"/>
      <c r="C20" s="446" t="s">
        <v>181</v>
      </c>
      <c r="D20" s="452"/>
      <c r="E20" s="453"/>
      <c r="F20" s="457">
        <f>SUMIF('FY24'!A:A, 'Annual Budget '!A20, 'FY24'!AJ:AJ)</f>
        <v>0</v>
      </c>
      <c r="G20" s="462">
        <f>SUMIF(FBT!B:B, 'Annual Budget '!A20, FBT!I:I)</f>
        <v>0</v>
      </c>
      <c r="H20" s="463">
        <f>SUMIF('FY24'!A:A, 'Annual Budget '!A20, 'FY24'!AK:AK)</f>
        <v>0</v>
      </c>
      <c r="I20" s="462">
        <f>SUMIF(FBT!B:B, 'Annual Budget '!A20, FBT!J:J)</f>
        <v>0</v>
      </c>
      <c r="J20" s="3">
        <f t="shared" si="4"/>
        <v>0</v>
      </c>
      <c r="K20" s="3">
        <f t="shared" si="5"/>
        <v>0</v>
      </c>
      <c r="L20" s="158">
        <f t="shared" si="2"/>
        <v>0</v>
      </c>
      <c r="M20" s="158" t="str">
        <f t="shared" si="6"/>
        <v/>
      </c>
      <c r="N20" s="426"/>
    </row>
    <row r="21" spans="1:14">
      <c r="A21" s="371">
        <f t="shared" si="3"/>
        <v>11</v>
      </c>
      <c r="B21" s="456"/>
      <c r="C21" s="446" t="s">
        <v>181</v>
      </c>
      <c r="D21" s="446"/>
      <c r="E21" s="448"/>
      <c r="F21" s="457">
        <f>SUMIF('FY24'!A:A, 'Annual Budget '!A21, 'FY24'!AJ:AJ)</f>
        <v>0</v>
      </c>
      <c r="G21" s="462">
        <f>SUMIF(FBT!B:B, 'Annual Budget '!A21, FBT!I:I)</f>
        <v>0</v>
      </c>
      <c r="H21" s="463">
        <f>SUMIF('FY24'!A:A, 'Annual Budget '!A21, 'FY24'!AK:AK)</f>
        <v>0</v>
      </c>
      <c r="I21" s="462">
        <f>SUMIF(FBT!B:B, 'Annual Budget '!A21, FBT!J:J)</f>
        <v>0</v>
      </c>
      <c r="J21" s="4">
        <f t="shared" si="4"/>
        <v>0</v>
      </c>
      <c r="K21" s="4">
        <f t="shared" si="5"/>
        <v>0</v>
      </c>
      <c r="L21" s="162">
        <f t="shared" si="2"/>
        <v>0</v>
      </c>
      <c r="M21" s="162" t="str">
        <f t="shared" si="6"/>
        <v/>
      </c>
      <c r="N21" s="426"/>
    </row>
    <row r="22" spans="1:14" ht="18" customHeight="1">
      <c r="A22" s="372">
        <f t="shared" si="3"/>
        <v>12</v>
      </c>
      <c r="B22" s="93" t="s">
        <v>43</v>
      </c>
      <c r="C22" s="58"/>
      <c r="D22" s="58"/>
      <c r="E22" s="44"/>
      <c r="F22" s="352">
        <f>SUM(F13:F21)</f>
        <v>1300052.33</v>
      </c>
      <c r="G22" s="149">
        <f>SUM(G13:G21)</f>
        <v>1954468</v>
      </c>
      <c r="H22" s="353">
        <f>SUM(H13:H21)</f>
        <v>0</v>
      </c>
      <c r="I22" s="149">
        <f>SUM(I13:I21)</f>
        <v>0</v>
      </c>
      <c r="J22" s="6">
        <f t="shared" si="4"/>
        <v>1300052.33</v>
      </c>
      <c r="K22" s="6">
        <f t="shared" si="5"/>
        <v>1954468</v>
      </c>
      <c r="L22" s="129">
        <f t="shared" si="2"/>
        <v>0.39721612821163071</v>
      </c>
      <c r="M22" s="129">
        <f t="shared" si="6"/>
        <v>0.66516941182971534</v>
      </c>
      <c r="N22" s="430"/>
    </row>
    <row r="23" spans="1:14">
      <c r="A23" s="371">
        <f t="shared" si="3"/>
        <v>13</v>
      </c>
      <c r="B23" s="94"/>
      <c r="C23" s="95"/>
      <c r="D23" s="95"/>
      <c r="E23" s="96"/>
      <c r="F23" s="151"/>
      <c r="G23" s="150"/>
      <c r="H23" s="354"/>
      <c r="I23" s="150"/>
      <c r="J23" s="152"/>
      <c r="K23" s="152"/>
      <c r="L23" s="152"/>
      <c r="M23" s="152"/>
      <c r="N23" s="431"/>
    </row>
    <row r="24" spans="1:14" ht="18" customHeight="1">
      <c r="A24" s="370">
        <f t="shared" si="3"/>
        <v>14</v>
      </c>
      <c r="B24" s="52" t="s">
        <v>44</v>
      </c>
      <c r="C24" s="52"/>
      <c r="D24" s="52"/>
      <c r="E24" s="41"/>
      <c r="F24" s="154"/>
      <c r="G24" s="153"/>
      <c r="H24" s="154"/>
      <c r="I24" s="153"/>
      <c r="J24" s="3"/>
      <c r="K24" s="3"/>
      <c r="L24" s="3"/>
      <c r="M24" s="3"/>
      <c r="N24" s="432"/>
    </row>
    <row r="25" spans="1:14">
      <c r="A25" s="371">
        <f t="shared" si="3"/>
        <v>15</v>
      </c>
      <c r="B25" s="97"/>
      <c r="C25" s="98" t="s">
        <v>45</v>
      </c>
      <c r="D25" s="98"/>
      <c r="E25" s="42"/>
      <c r="F25" s="28"/>
      <c r="G25" s="155"/>
      <c r="H25" s="355"/>
      <c r="I25" s="156"/>
      <c r="J25" s="157"/>
      <c r="K25" s="14"/>
      <c r="L25" s="14"/>
      <c r="M25" s="14"/>
      <c r="N25" s="433"/>
    </row>
    <row r="26" spans="1:14">
      <c r="A26" s="371">
        <f t="shared" si="3"/>
        <v>16</v>
      </c>
      <c r="B26" s="39"/>
      <c r="C26" s="40"/>
      <c r="D26" s="99" t="s">
        <v>46</v>
      </c>
      <c r="E26" s="2">
        <v>3110</v>
      </c>
      <c r="F26" s="457">
        <f>SUMIF('FY24'!A:A, 'Annual Budget '!A26, 'FY24'!AJ:AJ)</f>
        <v>818650</v>
      </c>
      <c r="G26" s="462">
        <f>SUMIF(FBT!B:B, 'Annual Budget '!A26, FBT!I:I)</f>
        <v>1344316.2326921532</v>
      </c>
      <c r="H26" s="356"/>
      <c r="I26" s="357"/>
      <c r="J26" s="153">
        <f t="shared" si="4"/>
        <v>818650</v>
      </c>
      <c r="K26" s="3">
        <f t="shared" si="5"/>
        <v>1344316.2326921532</v>
      </c>
      <c r="L26" s="158">
        <f>K26/$K$85</f>
        <v>0.27321198865472479</v>
      </c>
      <c r="M26" s="158">
        <f t="shared" ref="M26:M27" si="7">IFERROR(J26/K26,"")</f>
        <v>0.60897129714825804</v>
      </c>
      <c r="N26" s="426"/>
    </row>
    <row r="27" spans="1:14">
      <c r="A27" s="371">
        <f t="shared" si="3"/>
        <v>17</v>
      </c>
      <c r="B27" s="39"/>
      <c r="C27" s="40"/>
      <c r="D27" s="40" t="s">
        <v>47</v>
      </c>
      <c r="E27" s="2">
        <v>3190</v>
      </c>
      <c r="F27" s="457">
        <f>SUMIF('FY24'!A:A, 'Annual Budget '!A27, 'FY24'!AJ:AJ)</f>
        <v>0</v>
      </c>
      <c r="G27" s="462">
        <f>SUMIF(FBT!B:B, 'Annual Budget '!A27, FBT!I:I)</f>
        <v>0</v>
      </c>
      <c r="H27" s="463">
        <f>SUMIF('FY24'!A:A, 'Annual Budget '!A27, 'FY24'!AK:AK)</f>
        <v>0</v>
      </c>
      <c r="I27" s="462">
        <f>SUMIF(FBT!B:B, 'Annual Budget '!A27, FBT!J:J)</f>
        <v>0</v>
      </c>
      <c r="J27" s="3">
        <f t="shared" si="4"/>
        <v>0</v>
      </c>
      <c r="K27" s="3">
        <f t="shared" si="5"/>
        <v>0</v>
      </c>
      <c r="L27" s="158">
        <f>K27/$K$85</f>
        <v>0</v>
      </c>
      <c r="M27" s="158" t="str">
        <f t="shared" si="7"/>
        <v/>
      </c>
      <c r="N27" s="426"/>
    </row>
    <row r="28" spans="1:14">
      <c r="A28" s="371">
        <f t="shared" si="3"/>
        <v>18</v>
      </c>
      <c r="B28" s="100"/>
      <c r="C28" s="101" t="s">
        <v>48</v>
      </c>
      <c r="D28" s="101"/>
      <c r="E28" s="22"/>
      <c r="F28" s="160"/>
      <c r="G28" s="159"/>
      <c r="H28" s="26"/>
      <c r="I28" s="161"/>
      <c r="J28" s="3"/>
      <c r="K28" s="3"/>
      <c r="L28" s="158"/>
      <c r="M28" s="158"/>
      <c r="N28" s="434"/>
    </row>
    <row r="29" spans="1:14">
      <c r="A29" s="371">
        <f t="shared" si="3"/>
        <v>19</v>
      </c>
      <c r="B29" s="39"/>
      <c r="C29" s="40"/>
      <c r="D29" s="40" t="s">
        <v>49</v>
      </c>
      <c r="E29" s="102">
        <v>3220</v>
      </c>
      <c r="F29" s="457">
        <f>SUMIF('FY24'!A:A, 'Annual Budget '!A29, 'FY24'!AJ:AJ)</f>
        <v>11366</v>
      </c>
      <c r="G29" s="462">
        <f>SUMIF(FBT!B:B, 'Annual Budget '!A29, FBT!I:I)</f>
        <v>0</v>
      </c>
      <c r="H29" s="463">
        <f>SUMIF('FY24'!A:A, 'Annual Budget '!A29, 'FY24'!AK:AK)</f>
        <v>0</v>
      </c>
      <c r="I29" s="462">
        <f>SUMIF(FBT!B:B, 'Annual Budget '!A29, FBT!J:J)</f>
        <v>0</v>
      </c>
      <c r="J29" s="3">
        <f t="shared" si="4"/>
        <v>11366</v>
      </c>
      <c r="K29" s="3">
        <f t="shared" si="5"/>
        <v>0</v>
      </c>
      <c r="L29" s="158">
        <f t="shared" ref="L29:L39" si="8">K29/$K$85</f>
        <v>0</v>
      </c>
      <c r="M29" s="158" t="str">
        <f t="shared" ref="M29:M39" si="9">IFERROR(J29/K29,"")</f>
        <v/>
      </c>
      <c r="N29" s="426"/>
    </row>
    <row r="30" spans="1:14">
      <c r="A30" s="371">
        <f t="shared" si="3"/>
        <v>20</v>
      </c>
      <c r="B30" s="39"/>
      <c r="C30" s="40"/>
      <c r="D30" s="40" t="s">
        <v>50</v>
      </c>
      <c r="E30" s="102">
        <v>3230</v>
      </c>
      <c r="F30" s="457">
        <f>SUMIF('FY24'!A:A, 'Annual Budget '!A30, 'FY24'!AJ:AJ)</f>
        <v>0</v>
      </c>
      <c r="G30" s="462">
        <f>SUMIF(FBT!B:B, 'Annual Budget '!A30, FBT!I:I)</f>
        <v>0</v>
      </c>
      <c r="H30" s="358"/>
      <c r="I30" s="148"/>
      <c r="J30" s="3">
        <f t="shared" si="4"/>
        <v>0</v>
      </c>
      <c r="K30" s="3">
        <f t="shared" si="5"/>
        <v>0</v>
      </c>
      <c r="L30" s="158">
        <f t="shared" si="8"/>
        <v>0</v>
      </c>
      <c r="M30" s="158" t="str">
        <f t="shared" si="9"/>
        <v/>
      </c>
      <c r="N30" s="426"/>
    </row>
    <row r="31" spans="1:14">
      <c r="A31" s="371">
        <f t="shared" si="3"/>
        <v>21</v>
      </c>
      <c r="B31" s="39"/>
      <c r="C31" s="40"/>
      <c r="D31" s="40" t="s">
        <v>94</v>
      </c>
      <c r="E31" s="102">
        <v>3290</v>
      </c>
      <c r="F31" s="457">
        <f>SUMIF('FY24'!A:A, 'Annual Budget '!A31, 'FY24'!AJ:AJ)</f>
        <v>0</v>
      </c>
      <c r="G31" s="462">
        <f>SUMIF(FBT!B:B, 'Annual Budget '!A31, FBT!I:I)</f>
        <v>0</v>
      </c>
      <c r="H31" s="463">
        <f>SUMIF('FY24'!A:A, 'Annual Budget '!A31, 'FY24'!AK:AK)</f>
        <v>0</v>
      </c>
      <c r="I31" s="462">
        <f>SUMIF(FBT!B:B, 'Annual Budget '!A31, FBT!J:J)</f>
        <v>0</v>
      </c>
      <c r="J31" s="3">
        <f t="shared" si="4"/>
        <v>0</v>
      </c>
      <c r="K31" s="3">
        <f t="shared" si="5"/>
        <v>0</v>
      </c>
      <c r="L31" s="158">
        <f t="shared" si="8"/>
        <v>0</v>
      </c>
      <c r="M31" s="158" t="str">
        <f t="shared" si="9"/>
        <v/>
      </c>
      <c r="N31" s="426"/>
    </row>
    <row r="32" spans="1:14">
      <c r="A32" s="371">
        <f t="shared" si="3"/>
        <v>22</v>
      </c>
      <c r="B32" s="39"/>
      <c r="C32" s="40"/>
      <c r="D32" s="103" t="s">
        <v>164</v>
      </c>
      <c r="E32" s="102">
        <v>3240</v>
      </c>
      <c r="F32" s="457">
        <f>SUMIF('FY24'!A:A, 'Annual Budget '!A32, 'FY24'!AJ:AJ)</f>
        <v>0</v>
      </c>
      <c r="G32" s="462">
        <f>SUMIF(FBT!B:B, 'Annual Budget '!A32, FBT!I:I)</f>
        <v>0</v>
      </c>
      <c r="H32" s="463">
        <f>SUMIF('FY24'!A:A, 'Annual Budget '!A32, 'FY24'!AK:AK)</f>
        <v>0</v>
      </c>
      <c r="I32" s="462">
        <f>SUMIF(FBT!B:B, 'Annual Budget '!A32, FBT!J:J)</f>
        <v>0</v>
      </c>
      <c r="J32" s="3">
        <f t="shared" si="4"/>
        <v>0</v>
      </c>
      <c r="K32" s="3">
        <f t="shared" si="5"/>
        <v>0</v>
      </c>
      <c r="L32" s="158">
        <f t="shared" si="8"/>
        <v>0</v>
      </c>
      <c r="M32" s="158" t="str">
        <f t="shared" si="9"/>
        <v/>
      </c>
      <c r="N32" s="426"/>
    </row>
    <row r="33" spans="1:14">
      <c r="A33" s="371">
        <f t="shared" si="3"/>
        <v>23</v>
      </c>
      <c r="B33" s="39"/>
      <c r="C33" s="40"/>
      <c r="D33" s="40" t="s">
        <v>133</v>
      </c>
      <c r="E33" s="102">
        <v>3290</v>
      </c>
      <c r="F33" s="457">
        <f>SUMIF('FY24'!A:A, 'Annual Budget '!A33, 'FY24'!AJ:AJ)</f>
        <v>0</v>
      </c>
      <c r="G33" s="462">
        <f>SUMIF(FBT!B:B, 'Annual Budget '!A33, FBT!I:I)</f>
        <v>0</v>
      </c>
      <c r="H33" s="463">
        <f>SUMIF('FY24'!A:A, 'Annual Budget '!A33, 'FY24'!AK:AK)</f>
        <v>0</v>
      </c>
      <c r="I33" s="462">
        <f>SUMIF(FBT!B:B, 'Annual Budget '!A33, FBT!J:J)</f>
        <v>0</v>
      </c>
      <c r="J33" s="3">
        <f t="shared" si="4"/>
        <v>0</v>
      </c>
      <c r="K33" s="3">
        <f t="shared" si="5"/>
        <v>0</v>
      </c>
      <c r="L33" s="158">
        <f t="shared" si="8"/>
        <v>0</v>
      </c>
      <c r="M33" s="158" t="str">
        <f t="shared" si="9"/>
        <v/>
      </c>
      <c r="N33" s="426"/>
    </row>
    <row r="34" spans="1:14">
      <c r="A34" s="371">
        <f t="shared" si="3"/>
        <v>24</v>
      </c>
      <c r="B34" s="39"/>
      <c r="C34" s="40"/>
      <c r="D34" s="103" t="s">
        <v>137</v>
      </c>
      <c r="E34" s="102">
        <v>3290</v>
      </c>
      <c r="F34" s="457">
        <f>SUMIF('FY24'!A:A, 'Annual Budget '!A34, 'FY24'!AJ:AJ)</f>
        <v>500</v>
      </c>
      <c r="G34" s="462">
        <f>SUMIF(FBT!B:B, 'Annual Budget '!A34, FBT!I:I)</f>
        <v>0</v>
      </c>
      <c r="H34" s="463">
        <f>SUMIF('FY24'!A:A, 'Annual Budget '!A34, 'FY24'!AK:AK)</f>
        <v>0</v>
      </c>
      <c r="I34" s="462">
        <f>SUMIF(FBT!B:B, 'Annual Budget '!A34, FBT!J:J)</f>
        <v>22389.705882352941</v>
      </c>
      <c r="J34" s="3">
        <f t="shared" si="4"/>
        <v>500</v>
      </c>
      <c r="K34" s="3">
        <f t="shared" si="5"/>
        <v>22389.705882352941</v>
      </c>
      <c r="L34" s="158">
        <f t="shared" si="8"/>
        <v>4.550369861458672E-3</v>
      </c>
      <c r="M34" s="158">
        <f t="shared" si="9"/>
        <v>2.233169129720854E-2</v>
      </c>
      <c r="N34" s="426"/>
    </row>
    <row r="35" spans="1:14">
      <c r="A35" s="371">
        <f t="shared" si="3"/>
        <v>25</v>
      </c>
      <c r="B35" s="456"/>
      <c r="C35" s="446"/>
      <c r="D35" s="446" t="s">
        <v>577</v>
      </c>
      <c r="E35" s="448">
        <v>3290</v>
      </c>
      <c r="F35" s="457"/>
      <c r="G35" s="462">
        <f>SUMIF(FBT!B:B, 'Annual Budget '!A35, FBT!I:I)</f>
        <v>0</v>
      </c>
      <c r="H35" s="458"/>
      <c r="I35" s="462">
        <f>SUMIF(FBT!B:B, 'Annual Budget '!A35, FBT!J:J)</f>
        <v>0</v>
      </c>
      <c r="J35" s="3">
        <f t="shared" si="4"/>
        <v>0</v>
      </c>
      <c r="K35" s="3">
        <f t="shared" si="5"/>
        <v>0</v>
      </c>
      <c r="L35" s="158">
        <f t="shared" si="8"/>
        <v>0</v>
      </c>
      <c r="M35" s="158" t="str">
        <f t="shared" si="9"/>
        <v/>
      </c>
      <c r="N35" s="426"/>
    </row>
    <row r="36" spans="1:14">
      <c r="A36" s="371">
        <f t="shared" si="3"/>
        <v>26</v>
      </c>
      <c r="B36" s="456"/>
      <c r="C36" s="446" t="s">
        <v>181</v>
      </c>
      <c r="D36" s="446"/>
      <c r="E36" s="448"/>
      <c r="F36" s="449"/>
      <c r="G36" s="450"/>
      <c r="H36" s="458"/>
      <c r="I36" s="462">
        <f>SUMIF(FBT!B:B, 'Annual Budget '!A36, FBT!J:J)</f>
        <v>0</v>
      </c>
      <c r="J36" s="3">
        <f t="shared" si="4"/>
        <v>0</v>
      </c>
      <c r="K36" s="3">
        <f t="shared" si="5"/>
        <v>0</v>
      </c>
      <c r="L36" s="158">
        <f t="shared" si="8"/>
        <v>0</v>
      </c>
      <c r="M36" s="158" t="str">
        <f t="shared" si="9"/>
        <v/>
      </c>
      <c r="N36" s="426"/>
    </row>
    <row r="37" spans="1:14">
      <c r="A37" s="371">
        <f t="shared" si="3"/>
        <v>27</v>
      </c>
      <c r="B37" s="459"/>
      <c r="C37" s="446" t="s">
        <v>181</v>
      </c>
      <c r="D37" s="452"/>
      <c r="E37" s="460"/>
      <c r="F37" s="454"/>
      <c r="G37" s="455"/>
      <c r="H37" s="461"/>
      <c r="I37" s="462">
        <f>SUMIF(FBT!B:B, 'Annual Budget '!A37, FBT!J:J)</f>
        <v>0</v>
      </c>
      <c r="J37" s="3">
        <f t="shared" si="4"/>
        <v>0</v>
      </c>
      <c r="K37" s="3">
        <f t="shared" si="5"/>
        <v>0</v>
      </c>
      <c r="L37" s="158">
        <f t="shared" si="8"/>
        <v>0</v>
      </c>
      <c r="M37" s="158" t="str">
        <f t="shared" si="9"/>
        <v/>
      </c>
      <c r="N37" s="426"/>
    </row>
    <row r="38" spans="1:14">
      <c r="A38" s="371">
        <f t="shared" si="3"/>
        <v>28</v>
      </c>
      <c r="B38" s="456"/>
      <c r="C38" s="446" t="s">
        <v>181</v>
      </c>
      <c r="D38" s="446"/>
      <c r="E38" s="451"/>
      <c r="F38" s="449"/>
      <c r="G38" s="450"/>
      <c r="H38" s="458"/>
      <c r="I38" s="462">
        <f>SUMIF(FBT!B:B, 'Annual Budget '!A38, FBT!J:J)</f>
        <v>0</v>
      </c>
      <c r="J38" s="4">
        <f t="shared" si="4"/>
        <v>0</v>
      </c>
      <c r="K38" s="4">
        <f t="shared" si="5"/>
        <v>0</v>
      </c>
      <c r="L38" s="162">
        <f t="shared" si="8"/>
        <v>0</v>
      </c>
      <c r="M38" s="162" t="str">
        <f t="shared" si="9"/>
        <v/>
      </c>
      <c r="N38" s="426"/>
    </row>
    <row r="39" spans="1:14" ht="18" customHeight="1">
      <c r="A39" s="372">
        <f t="shared" si="3"/>
        <v>29</v>
      </c>
      <c r="B39" s="93" t="s">
        <v>51</v>
      </c>
      <c r="C39" s="58"/>
      <c r="D39" s="58"/>
      <c r="E39" s="44"/>
      <c r="F39" s="352">
        <f>SUM(F26:F38)</f>
        <v>830516</v>
      </c>
      <c r="G39" s="149">
        <f>SUM(G26:G38)</f>
        <v>1344316.2326921532</v>
      </c>
      <c r="H39" s="353">
        <f>SUM(H26:H38)</f>
        <v>0</v>
      </c>
      <c r="I39" s="149">
        <f>SUM(I26:I38)</f>
        <v>22389.705882352941</v>
      </c>
      <c r="J39" s="6">
        <f t="shared" si="4"/>
        <v>830516</v>
      </c>
      <c r="K39" s="6">
        <f t="shared" si="5"/>
        <v>1366705.9385745062</v>
      </c>
      <c r="L39" s="129">
        <f t="shared" si="8"/>
        <v>0.27776235851618347</v>
      </c>
      <c r="M39" s="129">
        <f t="shared" si="9"/>
        <v>0.60767717221324147</v>
      </c>
      <c r="N39" s="430"/>
    </row>
    <row r="40" spans="1:14" ht="16" thickBot="1">
      <c r="A40" s="383">
        <f t="shared" si="3"/>
        <v>30</v>
      </c>
      <c r="B40" s="384"/>
      <c r="C40" s="385"/>
      <c r="D40" s="385"/>
      <c r="E40" s="386"/>
      <c r="F40" s="387"/>
      <c r="G40" s="388"/>
      <c r="H40" s="389"/>
      <c r="I40" s="388"/>
      <c r="J40" s="390"/>
      <c r="K40" s="390"/>
      <c r="L40" s="391"/>
      <c r="M40" s="391"/>
      <c r="N40" s="435"/>
    </row>
    <row r="41" spans="1:14" ht="18" customHeight="1" thickTop="1">
      <c r="A41" s="373">
        <f t="shared" si="3"/>
        <v>31</v>
      </c>
      <c r="B41" s="52" t="s">
        <v>52</v>
      </c>
      <c r="C41" s="52"/>
      <c r="D41" s="52"/>
      <c r="E41" s="41"/>
      <c r="F41" s="164"/>
      <c r="G41" s="142"/>
      <c r="H41" s="164"/>
      <c r="I41" s="142"/>
      <c r="J41" s="144"/>
      <c r="K41" s="144"/>
      <c r="L41" s="158"/>
      <c r="M41" s="158"/>
      <c r="N41" s="436"/>
    </row>
    <row r="42" spans="1:14">
      <c r="A42" s="374">
        <f t="shared" si="3"/>
        <v>32</v>
      </c>
      <c r="B42" s="98"/>
      <c r="C42" s="98" t="s">
        <v>53</v>
      </c>
      <c r="D42" s="98"/>
      <c r="E42" s="42"/>
      <c r="F42" s="166"/>
      <c r="G42" s="165"/>
      <c r="H42" s="166"/>
      <c r="I42" s="165"/>
      <c r="J42" s="167"/>
      <c r="K42" s="167"/>
      <c r="L42" s="146"/>
      <c r="M42" s="146"/>
      <c r="N42" s="437"/>
    </row>
    <row r="43" spans="1:14">
      <c r="A43" s="374">
        <f t="shared" si="3"/>
        <v>33</v>
      </c>
      <c r="B43" s="40"/>
      <c r="C43" s="40"/>
      <c r="D43" s="40" t="s">
        <v>110</v>
      </c>
      <c r="E43" s="2">
        <v>4110</v>
      </c>
      <c r="F43" s="457">
        <f>SUMIF('FY24'!A:A, 'Annual Budget '!A43, 'FY24'!AJ:AJ)</f>
        <v>0</v>
      </c>
      <c r="G43" s="462">
        <f>SUMIF(FBT!B:B, 'Annual Budget '!A43, FBT!I:I)</f>
        <v>0</v>
      </c>
      <c r="H43" s="147"/>
      <c r="I43" s="148"/>
      <c r="J43" s="3">
        <f t="shared" ref="J43:J105" si="10">H43+F43</f>
        <v>0</v>
      </c>
      <c r="K43" s="3">
        <f t="shared" ref="K43:K105" si="11">I43+G43</f>
        <v>0</v>
      </c>
      <c r="L43" s="158">
        <f>K43/$K$85</f>
        <v>0</v>
      </c>
      <c r="M43" s="158" t="str">
        <f t="shared" ref="M43:M44" si="12">IFERROR(J43/K43,"")</f>
        <v/>
      </c>
      <c r="N43" s="426"/>
    </row>
    <row r="44" spans="1:14">
      <c r="A44" s="374">
        <f t="shared" si="3"/>
        <v>34</v>
      </c>
      <c r="B44" s="40"/>
      <c r="C44" s="40"/>
      <c r="D44" s="40" t="s">
        <v>120</v>
      </c>
      <c r="E44" s="2">
        <v>4190</v>
      </c>
      <c r="F44" s="457">
        <f>SUMIF('FY24'!A:A, 'Annual Budget '!A44, 'FY24'!AJ:AJ)</f>
        <v>0</v>
      </c>
      <c r="G44" s="462">
        <f>SUMIF(FBT!B:B, 'Annual Budget '!A44, FBT!I:I)</f>
        <v>0</v>
      </c>
      <c r="H44" s="463">
        <f>SUMIF('FY24'!A:A, 'Annual Budget '!A44, 'FY24'!AK:AK)</f>
        <v>0</v>
      </c>
      <c r="I44" s="462">
        <f>SUMIF(FBT!B:B, 'Annual Budget '!A44, FBT!J:J)</f>
        <v>0</v>
      </c>
      <c r="J44" s="3">
        <f t="shared" si="10"/>
        <v>0</v>
      </c>
      <c r="K44" s="3">
        <f t="shared" si="11"/>
        <v>0</v>
      </c>
      <c r="L44" s="158">
        <f>K44/$K$85</f>
        <v>0</v>
      </c>
      <c r="M44" s="158" t="str">
        <f t="shared" si="12"/>
        <v/>
      </c>
      <c r="N44" s="426"/>
    </row>
    <row r="45" spans="1:14">
      <c r="A45" s="374">
        <f t="shared" si="3"/>
        <v>35</v>
      </c>
      <c r="B45" s="101"/>
      <c r="C45" s="101" t="s">
        <v>54</v>
      </c>
      <c r="D45" s="101"/>
      <c r="E45" s="22"/>
      <c r="F45" s="169"/>
      <c r="G45" s="168"/>
      <c r="H45" s="26"/>
      <c r="I45" s="161"/>
      <c r="J45" s="3"/>
      <c r="K45" s="3"/>
      <c r="L45" s="158"/>
      <c r="M45" s="158"/>
      <c r="N45" s="438"/>
    </row>
    <row r="46" spans="1:14">
      <c r="A46" s="374">
        <f t="shared" si="3"/>
        <v>36</v>
      </c>
      <c r="B46" s="40"/>
      <c r="C46" s="40"/>
      <c r="D46" s="40" t="s">
        <v>111</v>
      </c>
      <c r="E46" s="2">
        <v>4330</v>
      </c>
      <c r="F46" s="457">
        <f>SUMIF('FY24'!A:A, 'Annual Budget '!A46, 'FY24'!AJ:AJ)</f>
        <v>0</v>
      </c>
      <c r="G46" s="462">
        <f>SUMIF(FBT!B:B, 'Annual Budget '!A46, FBT!I:I)</f>
        <v>0</v>
      </c>
      <c r="H46" s="147"/>
      <c r="I46" s="148"/>
      <c r="J46" s="3">
        <f t="shared" si="10"/>
        <v>0</v>
      </c>
      <c r="K46" s="3">
        <f t="shared" si="11"/>
        <v>0</v>
      </c>
      <c r="L46" s="158">
        <f>K46/$K$85</f>
        <v>0</v>
      </c>
      <c r="M46" s="158" t="str">
        <f t="shared" ref="M46:M48" si="13">IFERROR(J46/K46,"")</f>
        <v/>
      </c>
      <c r="N46" s="438"/>
    </row>
    <row r="47" spans="1:14">
      <c r="A47" s="374">
        <f t="shared" si="3"/>
        <v>37</v>
      </c>
      <c r="B47" s="40"/>
      <c r="C47" s="40"/>
      <c r="D47" s="40" t="s">
        <v>55</v>
      </c>
      <c r="E47" s="2">
        <v>4390</v>
      </c>
      <c r="F47" s="143"/>
      <c r="G47" s="360"/>
      <c r="H47" s="463">
        <f>SUMIF('FY24'!A:A, 'Annual Budget '!A47, 'FY24'!AK:AK)</f>
        <v>0</v>
      </c>
      <c r="I47" s="462">
        <f>SUMIF(FBT!B:B, 'Annual Budget '!A47, FBT!J:J)</f>
        <v>0</v>
      </c>
      <c r="J47" s="3">
        <f t="shared" si="10"/>
        <v>0</v>
      </c>
      <c r="K47" s="3">
        <f t="shared" si="11"/>
        <v>0</v>
      </c>
      <c r="L47" s="158">
        <f>K47/$K$85</f>
        <v>0</v>
      </c>
      <c r="M47" s="158" t="str">
        <f t="shared" si="13"/>
        <v/>
      </c>
      <c r="N47" s="426"/>
    </row>
    <row r="48" spans="1:14">
      <c r="A48" s="374">
        <f t="shared" si="3"/>
        <v>38</v>
      </c>
      <c r="B48" s="446"/>
      <c r="C48" s="446"/>
      <c r="D48" s="446"/>
      <c r="E48" s="448"/>
      <c r="F48" s="457">
        <f>SUMIF('FY24'!A:A, 'Annual Budget '!A48, 'FY24'!AJ:AJ)</f>
        <v>0</v>
      </c>
      <c r="G48" s="462">
        <f>SUMIF(FBT!B:B, 'Annual Budget '!A48, FBT!I:I)</f>
        <v>0</v>
      </c>
      <c r="H48" s="463">
        <f>SUMIF('FY24'!A:A, 'Annual Budget '!A48, 'FY24'!AK:AK)</f>
        <v>0</v>
      </c>
      <c r="I48" s="462">
        <f>SUMIF(FBT!B:B, 'Annual Budget '!A48, FBT!J:J)</f>
        <v>0</v>
      </c>
      <c r="J48" s="3">
        <f t="shared" si="10"/>
        <v>0</v>
      </c>
      <c r="K48" s="3">
        <f t="shared" si="11"/>
        <v>0</v>
      </c>
      <c r="L48" s="158">
        <f>K48/$K$85</f>
        <v>0</v>
      </c>
      <c r="M48" s="158" t="str">
        <f t="shared" si="13"/>
        <v/>
      </c>
      <c r="N48" s="426"/>
    </row>
    <row r="49" spans="1:14">
      <c r="A49" s="374">
        <f t="shared" si="3"/>
        <v>39</v>
      </c>
      <c r="B49" s="101" t="s">
        <v>56</v>
      </c>
      <c r="C49" s="101"/>
      <c r="D49" s="101"/>
      <c r="E49" s="22"/>
      <c r="F49" s="169"/>
      <c r="G49" s="168"/>
      <c r="H49" s="26"/>
      <c r="I49" s="161"/>
      <c r="J49" s="3"/>
      <c r="K49" s="3"/>
      <c r="L49" s="158"/>
      <c r="M49" s="158"/>
      <c r="N49" s="438"/>
    </row>
    <row r="50" spans="1:14">
      <c r="A50" s="374">
        <f t="shared" si="3"/>
        <v>40</v>
      </c>
      <c r="B50" s="40"/>
      <c r="C50" s="40"/>
      <c r="D50" s="40" t="s">
        <v>112</v>
      </c>
      <c r="E50" s="2">
        <v>4510</v>
      </c>
      <c r="F50" s="154"/>
      <c r="G50" s="153"/>
      <c r="H50" s="463">
        <f>SUMIF('FY24'!A:A, 'Annual Budget '!A50, 'FY24'!AK:AK)</f>
        <v>0</v>
      </c>
      <c r="I50" s="462">
        <f>SUMIF(FBT!B:B, 'Annual Budget '!A50, FBT!J:J)</f>
        <v>0</v>
      </c>
      <c r="J50" s="3">
        <f t="shared" si="10"/>
        <v>0</v>
      </c>
      <c r="K50" s="3">
        <f t="shared" si="11"/>
        <v>0</v>
      </c>
      <c r="L50" s="158">
        <f>K50/$K$85</f>
        <v>0</v>
      </c>
      <c r="M50" s="158" t="str">
        <f t="shared" ref="M50:M51" si="14">IFERROR(J50/K50,"")</f>
        <v/>
      </c>
      <c r="N50" s="426"/>
    </row>
    <row r="51" spans="1:14">
      <c r="A51" s="374">
        <f t="shared" si="3"/>
        <v>41</v>
      </c>
      <c r="B51" s="40"/>
      <c r="C51" s="40"/>
      <c r="D51" s="40" t="s">
        <v>3</v>
      </c>
      <c r="E51" s="2">
        <v>4515</v>
      </c>
      <c r="F51" s="154"/>
      <c r="G51" s="153"/>
      <c r="H51" s="463">
        <f>SUMIF('FY24'!A:A, 'Annual Budget '!A51, 'FY24'!AK:AK)</f>
        <v>196999.82</v>
      </c>
      <c r="I51" s="462">
        <f>SUMIF(FBT!B:B, 'Annual Budget '!A51, FBT!J:J)</f>
        <v>250155.56926413145</v>
      </c>
      <c r="J51" s="3">
        <f t="shared" si="10"/>
        <v>196999.82</v>
      </c>
      <c r="K51" s="3">
        <f t="shared" si="11"/>
        <v>250155.56926413145</v>
      </c>
      <c r="L51" s="158">
        <f>K51/$K$85</f>
        <v>5.0840344622513495E-2</v>
      </c>
      <c r="M51" s="158">
        <f t="shared" si="14"/>
        <v>0.78750923107370063</v>
      </c>
      <c r="N51" s="426"/>
    </row>
    <row r="52" spans="1:14">
      <c r="A52" s="374">
        <f t="shared" si="3"/>
        <v>42</v>
      </c>
      <c r="B52" s="101"/>
      <c r="C52" s="101"/>
      <c r="D52" s="101" t="s">
        <v>4</v>
      </c>
      <c r="E52" s="22"/>
      <c r="F52" s="154"/>
      <c r="G52" s="153"/>
      <c r="H52" s="26"/>
      <c r="I52" s="161"/>
      <c r="J52" s="3"/>
      <c r="K52" s="3"/>
      <c r="L52" s="158"/>
      <c r="M52" s="158"/>
      <c r="N52" s="438"/>
    </row>
    <row r="53" spans="1:14">
      <c r="A53" s="374">
        <f t="shared" si="3"/>
        <v>43</v>
      </c>
      <c r="B53" s="40"/>
      <c r="C53" s="40"/>
      <c r="D53" s="40" t="s">
        <v>57</v>
      </c>
      <c r="E53" s="2" t="s">
        <v>58</v>
      </c>
      <c r="F53" s="154"/>
      <c r="G53" s="153"/>
      <c r="H53" s="463">
        <f>SUMIF('FY24'!A:A, 'Annual Budget '!A53, 'FY24'!AK:AK)</f>
        <v>38397</v>
      </c>
      <c r="I53" s="462">
        <f>SUMIF(FBT!B:B, 'Annual Budget '!A53, FBT!J:J)</f>
        <v>51007</v>
      </c>
      <c r="J53" s="3">
        <f t="shared" si="10"/>
        <v>38397</v>
      </c>
      <c r="K53" s="3">
        <f t="shared" si="11"/>
        <v>51007</v>
      </c>
      <c r="L53" s="158">
        <f>K53/$K$85</f>
        <v>1.0366403057860577E-2</v>
      </c>
      <c r="M53" s="158">
        <f t="shared" ref="M53:M56" si="15">IFERROR(J53/K53,"")</f>
        <v>0.75277903032917048</v>
      </c>
      <c r="N53" s="426"/>
    </row>
    <row r="54" spans="1:14">
      <c r="A54" s="374">
        <f t="shared" si="3"/>
        <v>44</v>
      </c>
      <c r="B54" s="40"/>
      <c r="C54" s="40"/>
      <c r="D54" s="40" t="s">
        <v>59</v>
      </c>
      <c r="E54" s="2" t="s">
        <v>60</v>
      </c>
      <c r="F54" s="154"/>
      <c r="G54" s="153"/>
      <c r="H54" s="463">
        <f>SUMIF('FY24'!A:A, 'Annual Budget '!A54, 'FY24'!AK:AK)</f>
        <v>1831</v>
      </c>
      <c r="I54" s="462">
        <f>SUMIF(FBT!B:B, 'Annual Budget '!A54, FBT!J:J)</f>
        <v>3000</v>
      </c>
      <c r="J54" s="3">
        <f t="shared" si="10"/>
        <v>1831</v>
      </c>
      <c r="K54" s="3">
        <f t="shared" si="11"/>
        <v>3000</v>
      </c>
      <c r="L54" s="158">
        <f>K54/$K$85</f>
        <v>6.0970473020529985E-4</v>
      </c>
      <c r="M54" s="158">
        <f t="shared" si="15"/>
        <v>0.61033333333333328</v>
      </c>
      <c r="N54" s="426"/>
    </row>
    <row r="55" spans="1:14">
      <c r="A55" s="374">
        <f t="shared" si="3"/>
        <v>45</v>
      </c>
      <c r="B55" s="40"/>
      <c r="C55" s="40"/>
      <c r="D55" s="103" t="s">
        <v>140</v>
      </c>
      <c r="E55" s="2">
        <v>4535</v>
      </c>
      <c r="F55" s="154"/>
      <c r="G55" s="153"/>
      <c r="H55" s="463">
        <f>SUMIF('FY24'!A:A, 'Annual Budget '!A55, 'FY24'!AK:AK)</f>
        <v>0</v>
      </c>
      <c r="I55" s="462">
        <f>SUMIF(FBT!B:B, 'Annual Budget '!A55, FBT!J:J)</f>
        <v>0</v>
      </c>
      <c r="J55" s="3">
        <f t="shared" si="10"/>
        <v>0</v>
      </c>
      <c r="K55" s="3">
        <f t="shared" si="11"/>
        <v>0</v>
      </c>
      <c r="L55" s="158">
        <f>K55/$K$85</f>
        <v>0</v>
      </c>
      <c r="M55" s="158" t="str">
        <f t="shared" si="15"/>
        <v/>
      </c>
      <c r="N55" s="426"/>
    </row>
    <row r="56" spans="1:14">
      <c r="A56" s="374">
        <f t="shared" si="3"/>
        <v>46</v>
      </c>
      <c r="B56" s="40"/>
      <c r="C56" s="40"/>
      <c r="D56" s="40" t="s">
        <v>61</v>
      </c>
      <c r="E56" s="2" t="s">
        <v>62</v>
      </c>
      <c r="F56" s="154"/>
      <c r="G56" s="153"/>
      <c r="H56" s="463">
        <f>SUMIF('FY24'!A:A, 'Annual Budget '!A56, 'FY24'!AK:AK)</f>
        <v>0</v>
      </c>
      <c r="I56" s="462">
        <f>SUMIF(FBT!B:B, 'Annual Budget '!A56, FBT!J:J)</f>
        <v>0</v>
      </c>
      <c r="J56" s="3">
        <f t="shared" si="10"/>
        <v>0</v>
      </c>
      <c r="K56" s="3">
        <f t="shared" si="11"/>
        <v>0</v>
      </c>
      <c r="L56" s="158">
        <f>K56/$K$85</f>
        <v>0</v>
      </c>
      <c r="M56" s="158" t="str">
        <f t="shared" si="15"/>
        <v/>
      </c>
      <c r="N56" s="426"/>
    </row>
    <row r="57" spans="1:14">
      <c r="A57" s="374">
        <f t="shared" si="3"/>
        <v>47</v>
      </c>
      <c r="B57" s="101"/>
      <c r="C57" s="101"/>
      <c r="D57" s="101" t="s">
        <v>138</v>
      </c>
      <c r="E57" s="22"/>
      <c r="F57" s="154"/>
      <c r="G57" s="153"/>
      <c r="H57" s="26"/>
      <c r="I57" s="161"/>
      <c r="J57" s="3"/>
      <c r="K57" s="3"/>
      <c r="L57" s="158"/>
      <c r="M57" s="158"/>
      <c r="N57" s="438"/>
    </row>
    <row r="58" spans="1:14">
      <c r="A58" s="374">
        <f t="shared" si="3"/>
        <v>48</v>
      </c>
      <c r="B58" s="40"/>
      <c r="C58" s="40"/>
      <c r="D58" s="40" t="s">
        <v>135</v>
      </c>
      <c r="E58" s="2" t="s">
        <v>63</v>
      </c>
      <c r="F58" s="154"/>
      <c r="G58" s="153"/>
      <c r="H58" s="463">
        <f>SUMIF('FY24'!A:A, 'Annual Budget '!A58, 'FY24'!AK:AK)</f>
        <v>169965</v>
      </c>
      <c r="I58" s="462">
        <f>SUMIF(FBT!B:B, 'Annual Budget '!A58, FBT!J:J)</f>
        <v>650000</v>
      </c>
      <c r="J58" s="3">
        <f t="shared" si="10"/>
        <v>169965</v>
      </c>
      <c r="K58" s="3">
        <f t="shared" si="11"/>
        <v>650000</v>
      </c>
      <c r="L58" s="158">
        <f t="shared" ref="L58:L70" si="16">K58/$K$85</f>
        <v>0.13210269154448165</v>
      </c>
      <c r="M58" s="158">
        <f t="shared" ref="M58:M70" si="17">IFERROR(J58/K58,"")</f>
        <v>0.26148461538461537</v>
      </c>
      <c r="N58" s="426"/>
    </row>
    <row r="59" spans="1:14">
      <c r="A59" s="374">
        <f t="shared" si="3"/>
        <v>49</v>
      </c>
      <c r="B59" s="40"/>
      <c r="C59" s="40"/>
      <c r="D59" s="40" t="s">
        <v>136</v>
      </c>
      <c r="E59" s="2">
        <v>4550</v>
      </c>
      <c r="F59" s="154"/>
      <c r="G59" s="153"/>
      <c r="H59" s="463">
        <f>SUMIF('FY24'!A:A, 'Annual Budget '!A59, 'FY24'!AK:AK)</f>
        <v>0</v>
      </c>
      <c r="I59" s="462">
        <f>SUMIF(FBT!B:B, 'Annual Budget '!A59, FBT!J:J)</f>
        <v>0</v>
      </c>
      <c r="J59" s="3">
        <f t="shared" si="10"/>
        <v>0</v>
      </c>
      <c r="K59" s="3">
        <f t="shared" si="11"/>
        <v>0</v>
      </c>
      <c r="L59" s="158">
        <f t="shared" si="16"/>
        <v>0</v>
      </c>
      <c r="M59" s="158" t="str">
        <f t="shared" si="17"/>
        <v/>
      </c>
      <c r="N59" s="426"/>
    </row>
    <row r="60" spans="1:14">
      <c r="A60" s="374">
        <f t="shared" si="3"/>
        <v>50</v>
      </c>
      <c r="B60" s="40"/>
      <c r="C60" s="40"/>
      <c r="D60" s="40" t="s">
        <v>64</v>
      </c>
      <c r="E60" s="2" t="s">
        <v>65</v>
      </c>
      <c r="F60" s="154"/>
      <c r="G60" s="153"/>
      <c r="H60" s="463">
        <f>SUMIF('FY24'!A:A, 'Annual Budget '!A60, 'FY24'!AK:AK)</f>
        <v>0</v>
      </c>
      <c r="I60" s="462">
        <f>SUMIF(FBT!B:B, 'Annual Budget '!A60, FBT!J:J)</f>
        <v>0</v>
      </c>
      <c r="J60" s="3">
        <f t="shared" si="10"/>
        <v>0</v>
      </c>
      <c r="K60" s="3">
        <f t="shared" si="11"/>
        <v>0</v>
      </c>
      <c r="L60" s="158">
        <f t="shared" si="16"/>
        <v>0</v>
      </c>
      <c r="M60" s="158" t="str">
        <f t="shared" si="17"/>
        <v/>
      </c>
      <c r="N60" s="426"/>
    </row>
    <row r="61" spans="1:14">
      <c r="A61" s="374">
        <f t="shared" si="3"/>
        <v>51</v>
      </c>
      <c r="B61" s="40"/>
      <c r="C61" s="40"/>
      <c r="D61" s="40" t="s">
        <v>142</v>
      </c>
      <c r="E61" s="2" t="s">
        <v>66</v>
      </c>
      <c r="F61" s="154"/>
      <c r="G61" s="153"/>
      <c r="H61" s="463">
        <f>SUMIF('FY24'!A:A, 'Annual Budget '!A61, 'FY24'!AK:AK)</f>
        <v>27996</v>
      </c>
      <c r="I61" s="462">
        <f>SUMIF(FBT!B:B, 'Annual Budget '!A61, FBT!J:J)</f>
        <v>29006</v>
      </c>
      <c r="J61" s="3">
        <f t="shared" si="10"/>
        <v>27996</v>
      </c>
      <c r="K61" s="3">
        <f t="shared" si="11"/>
        <v>29006</v>
      </c>
      <c r="L61" s="158">
        <f t="shared" si="16"/>
        <v>5.8950318014449766E-3</v>
      </c>
      <c r="M61" s="158">
        <f t="shared" si="17"/>
        <v>0.96517961801006691</v>
      </c>
      <c r="N61" s="426"/>
    </row>
    <row r="62" spans="1:14">
      <c r="A62" s="374">
        <f t="shared" si="3"/>
        <v>52</v>
      </c>
      <c r="B62" s="40"/>
      <c r="C62" s="40"/>
      <c r="D62" s="40" t="s">
        <v>151</v>
      </c>
      <c r="E62" s="2" t="s">
        <v>67</v>
      </c>
      <c r="F62" s="154"/>
      <c r="G62" s="153"/>
      <c r="H62" s="463">
        <f>SUMIF('FY24'!A:A, 'Annual Budget '!A62, 'FY24'!AK:AK)</f>
        <v>16396</v>
      </c>
      <c r="I62" s="462">
        <f>SUMIF(FBT!B:B, 'Annual Budget '!A62, FBT!J:J)</f>
        <v>16072</v>
      </c>
      <c r="J62" s="3">
        <f t="shared" si="10"/>
        <v>16396</v>
      </c>
      <c r="K62" s="3">
        <f t="shared" si="11"/>
        <v>16072</v>
      </c>
      <c r="L62" s="158">
        <f t="shared" si="16"/>
        <v>3.2663914746198599E-3</v>
      </c>
      <c r="M62" s="158">
        <f t="shared" si="17"/>
        <v>1.0201592832254853</v>
      </c>
      <c r="N62" s="426"/>
    </row>
    <row r="63" spans="1:14">
      <c r="A63" s="374">
        <f t="shared" si="3"/>
        <v>53</v>
      </c>
      <c r="B63" s="40"/>
      <c r="C63" s="40"/>
      <c r="D63" s="40" t="s">
        <v>143</v>
      </c>
      <c r="E63" s="2">
        <v>4559</v>
      </c>
      <c r="F63" s="154"/>
      <c r="G63" s="153"/>
      <c r="H63" s="463">
        <f>SUMIF('FY24'!A:A, 'Annual Budget '!A63, 'FY24'!AK:AK)</f>
        <v>0</v>
      </c>
      <c r="I63" s="462">
        <f>SUMIF(FBT!B:B, 'Annual Budget '!A63, FBT!J:J)</f>
        <v>0</v>
      </c>
      <c r="J63" s="3">
        <f t="shared" si="10"/>
        <v>0</v>
      </c>
      <c r="K63" s="3">
        <f t="shared" si="11"/>
        <v>0</v>
      </c>
      <c r="L63" s="158">
        <f t="shared" si="16"/>
        <v>0</v>
      </c>
      <c r="M63" s="158" t="str">
        <f t="shared" si="17"/>
        <v/>
      </c>
      <c r="N63" s="426"/>
    </row>
    <row r="64" spans="1:14">
      <c r="A64" s="374">
        <f t="shared" si="3"/>
        <v>54</v>
      </c>
      <c r="B64" s="40"/>
      <c r="C64" s="40"/>
      <c r="D64" s="40" t="s">
        <v>152</v>
      </c>
      <c r="E64" s="2">
        <v>4553</v>
      </c>
      <c r="F64" s="154"/>
      <c r="G64" s="153"/>
      <c r="H64" s="463">
        <f>SUMIF('FY24'!A:A, 'Annual Budget '!A64, 'FY24'!AK:AK)</f>
        <v>0</v>
      </c>
      <c r="I64" s="462">
        <f>SUMIF(FBT!B:B, 'Annual Budget '!A64, FBT!J:J)</f>
        <v>0</v>
      </c>
      <c r="J64" s="3">
        <f t="shared" si="10"/>
        <v>0</v>
      </c>
      <c r="K64" s="3">
        <f t="shared" si="11"/>
        <v>0</v>
      </c>
      <c r="L64" s="158">
        <f t="shared" si="16"/>
        <v>0</v>
      </c>
      <c r="M64" s="158" t="str">
        <f t="shared" si="17"/>
        <v/>
      </c>
      <c r="N64" s="426"/>
    </row>
    <row r="65" spans="1:14">
      <c r="A65" s="374">
        <f t="shared" si="3"/>
        <v>55</v>
      </c>
      <c r="B65" s="40"/>
      <c r="C65" s="40"/>
      <c r="D65" s="40" t="s">
        <v>141</v>
      </c>
      <c r="E65" s="2">
        <v>4559</v>
      </c>
      <c r="F65" s="154"/>
      <c r="G65" s="153"/>
      <c r="H65" s="463">
        <f>SUMIF('FY24'!A:A, 'Annual Budget '!A65, 'FY24'!AK:AK)</f>
        <v>9600</v>
      </c>
      <c r="I65" s="462">
        <f>SUMIF(FBT!B:B, 'Annual Budget '!A65, FBT!J:J)</f>
        <v>0</v>
      </c>
      <c r="J65" s="3">
        <f t="shared" si="10"/>
        <v>9600</v>
      </c>
      <c r="K65" s="3">
        <f t="shared" si="11"/>
        <v>0</v>
      </c>
      <c r="L65" s="158">
        <f t="shared" si="16"/>
        <v>0</v>
      </c>
      <c r="M65" s="158" t="str">
        <f t="shared" si="17"/>
        <v/>
      </c>
      <c r="N65" s="426"/>
    </row>
    <row r="66" spans="1:14">
      <c r="A66" s="374">
        <f t="shared" si="3"/>
        <v>56</v>
      </c>
      <c r="B66" s="101"/>
      <c r="C66" s="101"/>
      <c r="D66" s="101" t="s">
        <v>189</v>
      </c>
      <c r="E66" s="43"/>
      <c r="F66" s="361"/>
      <c r="G66" s="362"/>
      <c r="H66" s="147"/>
      <c r="I66" s="148"/>
      <c r="J66" s="3">
        <f t="shared" si="10"/>
        <v>0</v>
      </c>
      <c r="K66" s="3">
        <f t="shared" si="11"/>
        <v>0</v>
      </c>
      <c r="L66" s="158">
        <f t="shared" si="16"/>
        <v>0</v>
      </c>
      <c r="M66" s="158" t="str">
        <f t="shared" si="17"/>
        <v/>
      </c>
      <c r="N66" s="426"/>
    </row>
    <row r="67" spans="1:14">
      <c r="A67" s="374">
        <f t="shared" si="3"/>
        <v>57</v>
      </c>
      <c r="B67" s="40"/>
      <c r="C67" s="40"/>
      <c r="D67" s="40" t="s">
        <v>153</v>
      </c>
      <c r="E67" s="2">
        <v>4590</v>
      </c>
      <c r="F67" s="154"/>
      <c r="G67" s="153"/>
      <c r="H67" s="463">
        <f>SUMIF('FY24'!A:A, 'Annual Budget '!A67, 'FY24'!AK:AK)</f>
        <v>0</v>
      </c>
      <c r="I67" s="462">
        <f>SUMIF(FBT!B:B, 'Annual Budget '!A67, FBT!J:J)</f>
        <v>0</v>
      </c>
      <c r="J67" s="3">
        <f t="shared" si="10"/>
        <v>0</v>
      </c>
      <c r="K67" s="3">
        <f t="shared" si="11"/>
        <v>0</v>
      </c>
      <c r="L67" s="158">
        <f t="shared" si="16"/>
        <v>0</v>
      </c>
      <c r="M67" s="158" t="str">
        <f t="shared" si="17"/>
        <v/>
      </c>
      <c r="N67" s="426"/>
    </row>
    <row r="68" spans="1:14">
      <c r="A68" s="374">
        <f t="shared" si="3"/>
        <v>58</v>
      </c>
      <c r="B68" s="40"/>
      <c r="C68" s="40"/>
      <c r="D68" s="40" t="s">
        <v>154</v>
      </c>
      <c r="E68" s="2">
        <v>4590</v>
      </c>
      <c r="F68" s="154"/>
      <c r="G68" s="153"/>
      <c r="H68" s="463">
        <f>SUMIF('FY24'!A:A, 'Annual Budget '!A68, 'FY24'!AK:AK)</f>
        <v>0</v>
      </c>
      <c r="I68" s="462">
        <f>SUMIF(FBT!B:B, 'Annual Budget '!A68, FBT!J:J)</f>
        <v>0</v>
      </c>
      <c r="J68" s="3">
        <f t="shared" si="10"/>
        <v>0</v>
      </c>
      <c r="K68" s="3">
        <f t="shared" si="11"/>
        <v>0</v>
      </c>
      <c r="L68" s="158">
        <f t="shared" si="16"/>
        <v>0</v>
      </c>
      <c r="M68" s="158" t="str">
        <f t="shared" si="17"/>
        <v/>
      </c>
      <c r="N68" s="426"/>
    </row>
    <row r="69" spans="1:14">
      <c r="A69" s="374">
        <f t="shared" si="3"/>
        <v>59</v>
      </c>
      <c r="B69" s="40"/>
      <c r="C69" s="40"/>
      <c r="D69" s="40" t="s">
        <v>155</v>
      </c>
      <c r="E69" s="2">
        <v>4590</v>
      </c>
      <c r="F69" s="154"/>
      <c r="G69" s="153"/>
      <c r="H69" s="463">
        <f>SUMIF('FY24'!A:A, 'Annual Budget '!A69, 'FY24'!AK:AK)</f>
        <v>0</v>
      </c>
      <c r="I69" s="462">
        <f>SUMIF(FBT!B:B, 'Annual Budget '!A69, FBT!J:J)</f>
        <v>0</v>
      </c>
      <c r="J69" s="3">
        <f t="shared" si="10"/>
        <v>0</v>
      </c>
      <c r="K69" s="3">
        <f t="shared" si="11"/>
        <v>0</v>
      </c>
      <c r="L69" s="158">
        <f t="shared" si="16"/>
        <v>0</v>
      </c>
      <c r="M69" s="158" t="str">
        <f t="shared" si="17"/>
        <v/>
      </c>
      <c r="N69" s="426"/>
    </row>
    <row r="70" spans="1:14">
      <c r="A70" s="374">
        <f t="shared" si="3"/>
        <v>60</v>
      </c>
      <c r="B70" s="40"/>
      <c r="C70" s="40"/>
      <c r="D70" s="40" t="s">
        <v>156</v>
      </c>
      <c r="E70" s="2">
        <v>4590</v>
      </c>
      <c r="F70" s="154"/>
      <c r="G70" s="153"/>
      <c r="H70" s="463">
        <f>SUMIF('FY24'!A:A, 'Annual Budget '!A70, 'FY24'!AK:AK)</f>
        <v>1562881</v>
      </c>
      <c r="I70" s="462">
        <f>SUMIF(FBT!B:B, 'Annual Budget '!A70, FBT!J:J)</f>
        <v>600000</v>
      </c>
      <c r="J70" s="3">
        <f t="shared" si="10"/>
        <v>1562881</v>
      </c>
      <c r="K70" s="3">
        <f t="shared" si="11"/>
        <v>600000</v>
      </c>
      <c r="L70" s="158">
        <f t="shared" si="16"/>
        <v>0.12194094604105998</v>
      </c>
      <c r="M70" s="158">
        <f t="shared" si="17"/>
        <v>2.6048016666666665</v>
      </c>
      <c r="N70" s="426"/>
    </row>
    <row r="71" spans="1:14">
      <c r="A71" s="374">
        <f t="shared" si="3"/>
        <v>61</v>
      </c>
      <c r="B71" s="40"/>
      <c r="C71" s="40"/>
      <c r="D71" s="40" t="s">
        <v>157</v>
      </c>
      <c r="E71" s="2">
        <v>4590</v>
      </c>
      <c r="F71" s="154"/>
      <c r="G71" s="153"/>
      <c r="H71" s="463">
        <f>SUMIF('FY24'!A:A, 'Annual Budget '!A71, 'FY24'!AK:AK)</f>
        <v>0</v>
      </c>
      <c r="I71" s="462">
        <f>SUMIF(FBT!B:B, 'Annual Budget '!A71, FBT!J:J)</f>
        <v>0</v>
      </c>
      <c r="J71" s="3"/>
      <c r="K71" s="3"/>
      <c r="L71" s="158"/>
      <c r="M71" s="158"/>
      <c r="N71" s="426"/>
    </row>
    <row r="72" spans="1:14">
      <c r="A72" s="374">
        <f t="shared" si="3"/>
        <v>62</v>
      </c>
      <c r="B72" s="40"/>
      <c r="C72" s="40"/>
      <c r="D72" s="40" t="s">
        <v>211</v>
      </c>
      <c r="E72" s="2">
        <v>4590</v>
      </c>
      <c r="F72" s="154"/>
      <c r="G72" s="153"/>
      <c r="H72" s="463">
        <f>SUMIF('FY24'!A:A, 'Annual Budget '!A72, 'FY24'!AK:AK)</f>
        <v>0</v>
      </c>
      <c r="I72" s="462">
        <f>SUMIF(FBT!B:B, 'Annual Budget '!A72, FBT!J:J)</f>
        <v>0</v>
      </c>
      <c r="J72" s="3">
        <f t="shared" si="10"/>
        <v>0</v>
      </c>
      <c r="K72" s="3">
        <f t="shared" si="11"/>
        <v>0</v>
      </c>
      <c r="L72" s="158">
        <f t="shared" ref="L72:L80" si="18">K72/$K$85</f>
        <v>0</v>
      </c>
      <c r="M72" s="158" t="str">
        <f t="shared" ref="M72:M80" si="19">IFERROR(J72/K72,"")</f>
        <v/>
      </c>
      <c r="N72" s="426"/>
    </row>
    <row r="73" spans="1:14">
      <c r="A73" s="374">
        <f t="shared" si="3"/>
        <v>63</v>
      </c>
      <c r="B73" s="40"/>
      <c r="C73" s="40"/>
      <c r="D73" s="40" t="s">
        <v>113</v>
      </c>
      <c r="E73" s="2">
        <v>4580</v>
      </c>
      <c r="F73" s="154"/>
      <c r="G73" s="153"/>
      <c r="H73" s="463">
        <f>SUMIF('FY24'!A:A, 'Annual Budget '!A73, 'FY24'!AK:AK)</f>
        <v>0</v>
      </c>
      <c r="I73" s="462">
        <f>SUMIF(FBT!B:B, 'Annual Budget '!A73, FBT!J:J)</f>
        <v>0</v>
      </c>
      <c r="J73" s="3">
        <f t="shared" si="10"/>
        <v>0</v>
      </c>
      <c r="K73" s="3">
        <f t="shared" si="11"/>
        <v>0</v>
      </c>
      <c r="L73" s="158">
        <f t="shared" si="18"/>
        <v>0</v>
      </c>
      <c r="M73" s="158" t="str">
        <f t="shared" si="19"/>
        <v/>
      </c>
      <c r="N73" s="426"/>
    </row>
    <row r="74" spans="1:14">
      <c r="A74" s="374">
        <f t="shared" si="3"/>
        <v>64</v>
      </c>
      <c r="B74" s="40"/>
      <c r="C74" s="40"/>
      <c r="D74" s="40" t="s">
        <v>190</v>
      </c>
      <c r="E74" s="2" t="s">
        <v>68</v>
      </c>
      <c r="F74" s="154"/>
      <c r="G74" s="153"/>
      <c r="H74" s="463">
        <f>SUMIF('FY24'!A:A, 'Annual Budget '!A74, 'FY24'!AK:AK)</f>
        <v>0</v>
      </c>
      <c r="I74" s="462">
        <f>SUMIF(FBT!B:B, 'Annual Budget '!A74, FBT!J:J)</f>
        <v>0</v>
      </c>
      <c r="J74" s="3">
        <f t="shared" si="10"/>
        <v>0</v>
      </c>
      <c r="K74" s="3">
        <f t="shared" si="11"/>
        <v>0</v>
      </c>
      <c r="L74" s="158">
        <f t="shared" si="18"/>
        <v>0</v>
      </c>
      <c r="M74" s="158" t="str">
        <f t="shared" si="19"/>
        <v/>
      </c>
      <c r="N74" s="426"/>
    </row>
    <row r="75" spans="1:14">
      <c r="A75" s="374">
        <f t="shared" si="3"/>
        <v>65</v>
      </c>
      <c r="B75" s="40"/>
      <c r="C75" s="40"/>
      <c r="D75" s="72" t="s">
        <v>139</v>
      </c>
      <c r="E75" s="2">
        <v>4590</v>
      </c>
      <c r="F75" s="154"/>
      <c r="G75" s="153"/>
      <c r="H75" s="463">
        <f>SUMIF('FY24'!A:A, 'Annual Budget '!A75, 'FY24'!AK:AK)</f>
        <v>0</v>
      </c>
      <c r="I75" s="462">
        <f>SUMIF(FBT!B:B, 'Annual Budget '!A75, FBT!J:J)</f>
        <v>0</v>
      </c>
      <c r="J75" s="3">
        <f t="shared" si="10"/>
        <v>0</v>
      </c>
      <c r="K75" s="3">
        <f t="shared" si="11"/>
        <v>0</v>
      </c>
      <c r="L75" s="158">
        <f t="shared" si="18"/>
        <v>0</v>
      </c>
      <c r="M75" s="158" t="str">
        <f t="shared" si="19"/>
        <v/>
      </c>
      <c r="N75" s="426"/>
    </row>
    <row r="76" spans="1:14">
      <c r="A76" s="374">
        <f t="shared" si="3"/>
        <v>66</v>
      </c>
      <c r="B76" s="452"/>
      <c r="C76" s="446" t="s">
        <v>181</v>
      </c>
      <c r="D76" s="452"/>
      <c r="E76" s="453"/>
      <c r="F76" s="454"/>
      <c r="G76" s="455"/>
      <c r="H76" s="454"/>
      <c r="I76" s="462">
        <f>SUMIF(FBT!B:B, 'Annual Budget '!A76, FBT!J:J)</f>
        <v>0</v>
      </c>
      <c r="J76" s="3">
        <f t="shared" si="10"/>
        <v>0</v>
      </c>
      <c r="K76" s="3">
        <f t="shared" si="11"/>
        <v>0</v>
      </c>
      <c r="L76" s="158">
        <f t="shared" si="18"/>
        <v>0</v>
      </c>
      <c r="M76" s="158" t="str">
        <f t="shared" si="19"/>
        <v/>
      </c>
      <c r="N76" s="426"/>
    </row>
    <row r="77" spans="1:14">
      <c r="A77" s="374">
        <f t="shared" si="3"/>
        <v>67</v>
      </c>
      <c r="B77" s="452"/>
      <c r="C77" s="446" t="s">
        <v>181</v>
      </c>
      <c r="D77" s="452"/>
      <c r="E77" s="453"/>
      <c r="F77" s="454"/>
      <c r="G77" s="455"/>
      <c r="H77" s="454"/>
      <c r="I77" s="462">
        <f>SUMIF(FBT!B:B, 'Annual Budget '!A77, FBT!J:J)</f>
        <v>0</v>
      </c>
      <c r="J77" s="3">
        <f t="shared" si="10"/>
        <v>0</v>
      </c>
      <c r="K77" s="3">
        <f t="shared" si="11"/>
        <v>0</v>
      </c>
      <c r="L77" s="158">
        <f t="shared" si="18"/>
        <v>0</v>
      </c>
      <c r="M77" s="158" t="str">
        <f t="shared" si="19"/>
        <v/>
      </c>
      <c r="N77" s="426"/>
    </row>
    <row r="78" spans="1:14" ht="14.25" customHeight="1">
      <c r="A78" s="374">
        <f t="shared" si="3"/>
        <v>68</v>
      </c>
      <c r="B78" s="452"/>
      <c r="C78" s="446" t="s">
        <v>181</v>
      </c>
      <c r="D78" s="452"/>
      <c r="E78" s="453"/>
      <c r="F78" s="454"/>
      <c r="G78" s="455"/>
      <c r="H78" s="454"/>
      <c r="I78" s="462">
        <f>SUMIF(FBT!B:B, 'Annual Budget '!A78, FBT!J:J)</f>
        <v>0</v>
      </c>
      <c r="J78" s="3">
        <f t="shared" si="10"/>
        <v>0</v>
      </c>
      <c r="K78" s="3">
        <f t="shared" si="11"/>
        <v>0</v>
      </c>
      <c r="L78" s="158">
        <f t="shared" si="18"/>
        <v>0</v>
      </c>
      <c r="M78" s="158" t="str">
        <f t="shared" si="19"/>
        <v/>
      </c>
      <c r="N78" s="426"/>
    </row>
    <row r="79" spans="1:14" ht="14.25" customHeight="1">
      <c r="A79" s="374">
        <f t="shared" ref="A79:A142" si="20">A78+1</f>
        <v>69</v>
      </c>
      <c r="B79" s="446"/>
      <c r="C79" s="446" t="s">
        <v>181</v>
      </c>
      <c r="D79" s="446"/>
      <c r="E79" s="451"/>
      <c r="F79" s="449"/>
      <c r="G79" s="450"/>
      <c r="H79" s="449"/>
      <c r="I79" s="450"/>
      <c r="J79" s="4">
        <f t="shared" si="10"/>
        <v>0</v>
      </c>
      <c r="K79" s="4">
        <f t="shared" si="11"/>
        <v>0</v>
      </c>
      <c r="L79" s="162">
        <f t="shared" si="18"/>
        <v>0</v>
      </c>
      <c r="M79" s="162" t="str">
        <f t="shared" si="19"/>
        <v/>
      </c>
      <c r="N79" s="426"/>
    </row>
    <row r="80" spans="1:14">
      <c r="A80" s="375">
        <f t="shared" si="20"/>
        <v>70</v>
      </c>
      <c r="B80" s="58" t="s">
        <v>69</v>
      </c>
      <c r="C80" s="58"/>
      <c r="D80" s="58"/>
      <c r="E80" s="44"/>
      <c r="F80" s="352">
        <f>SUM(F43:F79)</f>
        <v>0</v>
      </c>
      <c r="G80" s="149">
        <f>SUM(G43:G79)</f>
        <v>0</v>
      </c>
      <c r="H80" s="352">
        <f>SUM(H43:H79)</f>
        <v>2024065.82</v>
      </c>
      <c r="I80" s="149">
        <f>SUM(I43:I79)</f>
        <v>1599240.5692641316</v>
      </c>
      <c r="J80" s="6">
        <f t="shared" si="10"/>
        <v>2024065.82</v>
      </c>
      <c r="K80" s="6">
        <f t="shared" si="11"/>
        <v>1599240.5692641316</v>
      </c>
      <c r="L80" s="129">
        <f t="shared" si="18"/>
        <v>0.32502151327218587</v>
      </c>
      <c r="M80" s="129">
        <f t="shared" si="19"/>
        <v>1.265641867084041</v>
      </c>
      <c r="N80" s="430"/>
    </row>
    <row r="81" spans="1:14" ht="18" customHeight="1">
      <c r="A81" s="374">
        <f t="shared" si="20"/>
        <v>71</v>
      </c>
      <c r="B81" s="40"/>
      <c r="C81" s="40"/>
      <c r="D81" s="40"/>
      <c r="E81" s="45"/>
      <c r="F81" s="171"/>
      <c r="G81" s="170"/>
      <c r="H81" s="171"/>
      <c r="I81" s="170"/>
      <c r="J81" s="172"/>
      <c r="K81" s="172"/>
      <c r="L81" s="173"/>
      <c r="M81" s="173"/>
      <c r="N81" s="439"/>
    </row>
    <row r="82" spans="1:14">
      <c r="A82" s="375">
        <f t="shared" si="20"/>
        <v>72</v>
      </c>
      <c r="B82" s="58" t="s">
        <v>191</v>
      </c>
      <c r="C82" s="58"/>
      <c r="D82" s="58"/>
      <c r="E82" s="42"/>
      <c r="F82" s="28"/>
      <c r="G82" s="155"/>
      <c r="H82" s="28"/>
      <c r="I82" s="155"/>
      <c r="J82" s="14"/>
      <c r="K82" s="14"/>
      <c r="L82" s="146"/>
      <c r="M82" s="146"/>
      <c r="N82" s="440"/>
    </row>
    <row r="83" spans="1:14" ht="18" customHeight="1">
      <c r="A83" s="374">
        <f t="shared" si="20"/>
        <v>73</v>
      </c>
      <c r="B83" s="446"/>
      <c r="C83" s="446"/>
      <c r="D83" s="446"/>
      <c r="E83" s="448"/>
      <c r="F83" s="449"/>
      <c r="G83" s="450"/>
      <c r="H83" s="449"/>
      <c r="I83" s="450"/>
      <c r="J83" s="3">
        <f t="shared" si="10"/>
        <v>0</v>
      </c>
      <c r="K83" s="3">
        <f t="shared" si="11"/>
        <v>0</v>
      </c>
      <c r="L83" s="158">
        <f>K83/$K$85</f>
        <v>0</v>
      </c>
      <c r="M83" s="158" t="str">
        <f t="shared" ref="M83:M85" si="21">IFERROR(J83/K83,"")</f>
        <v/>
      </c>
      <c r="N83" s="426"/>
    </row>
    <row r="84" spans="1:14">
      <c r="A84" s="374">
        <f t="shared" si="20"/>
        <v>74</v>
      </c>
      <c r="B84" s="446"/>
      <c r="C84" s="446"/>
      <c r="D84" s="446"/>
      <c r="E84" s="451"/>
      <c r="F84" s="449"/>
      <c r="G84" s="450"/>
      <c r="H84" s="449"/>
      <c r="I84" s="450"/>
      <c r="J84" s="4">
        <f t="shared" si="10"/>
        <v>0</v>
      </c>
      <c r="K84" s="4">
        <f t="shared" si="11"/>
        <v>0</v>
      </c>
      <c r="L84" s="162">
        <f>K84/$K$85</f>
        <v>0</v>
      </c>
      <c r="M84" s="162" t="str">
        <f t="shared" si="21"/>
        <v/>
      </c>
      <c r="N84" s="426"/>
    </row>
    <row r="85" spans="1:14" ht="18.75" customHeight="1" thickBot="1">
      <c r="A85" s="376">
        <f t="shared" si="20"/>
        <v>75</v>
      </c>
      <c r="B85" s="130" t="s">
        <v>74</v>
      </c>
      <c r="C85" s="130"/>
      <c r="D85" s="130"/>
      <c r="E85" s="46"/>
      <c r="F85" s="363">
        <f>F22+F39+F80+F83+F84</f>
        <v>2130568.33</v>
      </c>
      <c r="G85" s="174">
        <f>G22+G39+G80+G83+G84</f>
        <v>3298784.2326921532</v>
      </c>
      <c r="H85" s="363">
        <f>H22+H39+H80+H83+H84</f>
        <v>2024065.82</v>
      </c>
      <c r="I85" s="174">
        <f>I22+I39+I80+I83+I84</f>
        <v>1621630.2751464846</v>
      </c>
      <c r="J85" s="359">
        <f t="shared" si="10"/>
        <v>4154634.1500000004</v>
      </c>
      <c r="K85" s="359">
        <f t="shared" si="11"/>
        <v>4920414.5078386376</v>
      </c>
      <c r="L85" s="163">
        <f>K85/$K$85</f>
        <v>1</v>
      </c>
      <c r="M85" s="163">
        <f t="shared" si="21"/>
        <v>0.84436669784249185</v>
      </c>
      <c r="N85" s="441"/>
    </row>
    <row r="86" spans="1:14" ht="20.25" customHeight="1" thickTop="1">
      <c r="A86" s="377">
        <f t="shared" si="20"/>
        <v>76</v>
      </c>
      <c r="B86" s="861" t="s">
        <v>92</v>
      </c>
      <c r="C86" s="862"/>
      <c r="D86" s="862"/>
      <c r="E86" s="139"/>
      <c r="F86" s="176"/>
      <c r="G86" s="175"/>
      <c r="H86" s="364"/>
      <c r="I86" s="57"/>
      <c r="J86" s="177"/>
      <c r="K86" s="365"/>
      <c r="L86" s="178"/>
      <c r="M86" s="178"/>
      <c r="N86" s="442"/>
    </row>
    <row r="87" spans="1:14" ht="17.25" customHeight="1">
      <c r="A87" s="378">
        <f t="shared" si="20"/>
        <v>77</v>
      </c>
      <c r="B87" s="51"/>
      <c r="C87" s="52"/>
      <c r="D87" s="52" t="s">
        <v>75</v>
      </c>
      <c r="E87" s="17"/>
      <c r="F87" s="20"/>
      <c r="G87" s="19"/>
      <c r="H87" s="21"/>
      <c r="I87" s="19"/>
      <c r="J87" s="18"/>
      <c r="K87" s="18"/>
      <c r="L87" s="158"/>
      <c r="M87" s="158"/>
      <c r="N87" s="443"/>
    </row>
    <row r="88" spans="1:14" ht="17.25" customHeight="1">
      <c r="A88" s="374">
        <f t="shared" si="20"/>
        <v>78</v>
      </c>
      <c r="B88" s="53"/>
      <c r="C88" s="54" t="s">
        <v>30</v>
      </c>
      <c r="D88" s="55"/>
      <c r="E88" s="10"/>
      <c r="F88" s="11"/>
      <c r="G88" s="12"/>
      <c r="H88" s="13"/>
      <c r="I88" s="12"/>
      <c r="J88" s="14"/>
      <c r="K88" s="14"/>
      <c r="L88" s="146"/>
      <c r="M88" s="146"/>
      <c r="N88" s="440"/>
    </row>
    <row r="89" spans="1:14" ht="15" customHeight="1">
      <c r="A89" s="374">
        <f t="shared" si="20"/>
        <v>79</v>
      </c>
      <c r="B89" s="53"/>
      <c r="C89" s="56"/>
      <c r="D89" s="40" t="s">
        <v>27</v>
      </c>
      <c r="E89" s="2">
        <v>111</v>
      </c>
      <c r="F89" s="457">
        <f>SUMIF('FY24'!A:A, 'Annual Budget '!A89, 'FY24'!AJ:AJ)</f>
        <v>60333.36</v>
      </c>
      <c r="G89" s="462">
        <f>SUMIF(FBT!B:B, 'Annual Budget '!A89, FBT!I:I)</f>
        <v>90125.041200000007</v>
      </c>
      <c r="H89" s="463">
        <f>SUMIF('FY24'!A:A, 'Annual Budget '!A89, 'FY24'!AK:AK)</f>
        <v>0</v>
      </c>
      <c r="I89" s="462">
        <f>SUMIF(FBT!B:B, 'Annual Budget '!A89, FBT!J:J)</f>
        <v>0</v>
      </c>
      <c r="J89" s="3">
        <f t="shared" si="10"/>
        <v>60333.36</v>
      </c>
      <c r="K89" s="3">
        <f t="shared" si="11"/>
        <v>90125.041200000007</v>
      </c>
      <c r="L89" s="158">
        <f>K89/$K$156</f>
        <v>1.8323080893509529E-2</v>
      </c>
      <c r="M89" s="158">
        <f t="shared" ref="M89:M97" si="22">IFERROR(J89/K89,"")</f>
        <v>0.66944058162605302</v>
      </c>
      <c r="N89" s="426"/>
    </row>
    <row r="90" spans="1:14" ht="15" customHeight="1">
      <c r="A90" s="374">
        <f t="shared" si="20"/>
        <v>80</v>
      </c>
      <c r="B90" s="53"/>
      <c r="C90" s="56"/>
      <c r="D90" s="40" t="s">
        <v>28</v>
      </c>
      <c r="E90" s="2">
        <v>111</v>
      </c>
      <c r="F90" s="457">
        <f>SUMIF('FY24'!A:A, 'Annual Budget '!A90, 'FY24'!AJ:AJ)</f>
        <v>0</v>
      </c>
      <c r="G90" s="462">
        <f>SUMIF(FBT!B:B, 'Annual Budget '!A90, FBT!I:I)</f>
        <v>0</v>
      </c>
      <c r="H90" s="463">
        <f>SUMIF('FY24'!A:A, 'Annual Budget '!A90, 'FY24'!AK:AK)</f>
        <v>0</v>
      </c>
      <c r="I90" s="462">
        <f>SUMIF(FBT!B:B, 'Annual Budget '!A90, FBT!J:J)</f>
        <v>0</v>
      </c>
      <c r="J90" s="3">
        <f t="shared" si="10"/>
        <v>0</v>
      </c>
      <c r="K90" s="3">
        <f t="shared" si="11"/>
        <v>0</v>
      </c>
      <c r="L90" s="158">
        <f t="shared" ref="L90:L97" si="23">K90/$K$156</f>
        <v>0</v>
      </c>
      <c r="M90" s="158" t="str">
        <f t="shared" si="22"/>
        <v/>
      </c>
      <c r="N90" s="426"/>
    </row>
    <row r="91" spans="1:14" ht="15" customHeight="1">
      <c r="A91" s="374">
        <f t="shared" si="20"/>
        <v>81</v>
      </c>
      <c r="B91" s="53"/>
      <c r="C91" s="56"/>
      <c r="D91" s="40" t="s">
        <v>196</v>
      </c>
      <c r="E91" s="2">
        <v>111</v>
      </c>
      <c r="F91" s="457">
        <f>SUMIF('FY24'!A:A, 'Annual Budget '!A91, 'FY24'!AJ:AJ)</f>
        <v>288396.33</v>
      </c>
      <c r="G91" s="462">
        <f>SUMIF(FBT!B:B, 'Annual Budget '!A91, FBT!I:I)</f>
        <v>385310.34529999999</v>
      </c>
      <c r="H91" s="463">
        <f>SUMIF('FY24'!A:A, 'Annual Budget '!A91, 'FY24'!AK:AK)</f>
        <v>28348</v>
      </c>
      <c r="I91" s="462">
        <f>SUMIF(FBT!B:B, 'Annual Budget '!A91, FBT!J:J)</f>
        <v>279400</v>
      </c>
      <c r="J91" s="3">
        <f t="shared" si="10"/>
        <v>316744.33</v>
      </c>
      <c r="K91" s="3">
        <f t="shared" si="11"/>
        <v>664710.34529999993</v>
      </c>
      <c r="L91" s="158">
        <f t="shared" si="23"/>
        <v>0.13514048110842417</v>
      </c>
      <c r="M91" s="158">
        <f t="shared" si="22"/>
        <v>0.4765148191834529</v>
      </c>
      <c r="N91" s="426"/>
    </row>
    <row r="92" spans="1:14" ht="15" customHeight="1">
      <c r="A92" s="374">
        <f t="shared" si="20"/>
        <v>82</v>
      </c>
      <c r="B92" s="53"/>
      <c r="C92" s="40" t="s">
        <v>5</v>
      </c>
      <c r="D92" s="40"/>
      <c r="E92" s="2">
        <v>112</v>
      </c>
      <c r="F92" s="457">
        <f>SUMIF('FY24'!A:A, 'Annual Budget '!A92, 'FY24'!AJ:AJ)</f>
        <v>389580.00000000006</v>
      </c>
      <c r="G92" s="462">
        <f>SUMIF(FBT!B:B, 'Annual Budget '!A92, FBT!I:I)</f>
        <v>187848</v>
      </c>
      <c r="H92" s="463">
        <f>SUMIF('FY24'!A:A, 'Annual Budget '!A92, 'FY24'!AK:AK)</f>
        <v>616167</v>
      </c>
      <c r="I92" s="462">
        <f>SUMIF(FBT!B:B, 'Annual Budget '!A92, FBT!J:J)</f>
        <v>1000000</v>
      </c>
      <c r="J92" s="3">
        <f t="shared" si="10"/>
        <v>1005747</v>
      </c>
      <c r="K92" s="3">
        <f t="shared" si="11"/>
        <v>1187848</v>
      </c>
      <c r="L92" s="158">
        <f t="shared" si="23"/>
        <v>0.24149819743098774</v>
      </c>
      <c r="M92" s="158">
        <f t="shared" si="22"/>
        <v>0.84669671540466462</v>
      </c>
      <c r="N92" s="426"/>
    </row>
    <row r="93" spans="1:14" ht="15" customHeight="1">
      <c r="A93" s="374">
        <f t="shared" si="20"/>
        <v>83</v>
      </c>
      <c r="B93" s="40"/>
      <c r="C93" s="40" t="s">
        <v>29</v>
      </c>
      <c r="D93" s="40"/>
      <c r="E93" s="2">
        <v>113</v>
      </c>
      <c r="F93" s="457">
        <f>SUMIF('FY24'!A:A, 'Annual Budget '!A93, 'FY24'!AJ:AJ)</f>
        <v>87735.040000000008</v>
      </c>
      <c r="G93" s="462">
        <f>SUMIF(FBT!B:B, 'Annual Budget '!A93, FBT!I:I)</f>
        <v>0</v>
      </c>
      <c r="H93" s="463">
        <f>SUMIF('FY24'!A:A, 'Annual Budget '!A93, 'FY24'!AK:AK)</f>
        <v>162952</v>
      </c>
      <c r="I93" s="462">
        <f>SUMIF(FBT!B:B, 'Annual Budget '!A93, FBT!J:J)</f>
        <v>57936</v>
      </c>
      <c r="J93" s="3">
        <f t="shared" si="10"/>
        <v>250687.04</v>
      </c>
      <c r="K93" s="3">
        <f t="shared" si="11"/>
        <v>57936</v>
      </c>
      <c r="L93" s="158">
        <f t="shared" si="23"/>
        <v>1.177881308581713E-2</v>
      </c>
      <c r="M93" s="158">
        <f t="shared" si="22"/>
        <v>4.3269649268157968</v>
      </c>
      <c r="N93" s="426"/>
    </row>
    <row r="94" spans="1:14" ht="15" customHeight="1">
      <c r="A94" s="374">
        <f t="shared" si="20"/>
        <v>84</v>
      </c>
      <c r="B94" s="40"/>
      <c r="C94" s="40" t="s">
        <v>31</v>
      </c>
      <c r="D94" s="40"/>
      <c r="E94" s="2">
        <v>114</v>
      </c>
      <c r="F94" s="457">
        <f>SUMIF('FY24'!A:A, 'Annual Budget '!A94, 'FY24'!AJ:AJ)</f>
        <v>78607.14</v>
      </c>
      <c r="G94" s="462">
        <f>SUMIF(FBT!B:B, 'Annual Budget '!A94, FBT!I:I)</f>
        <v>81800</v>
      </c>
      <c r="H94" s="463">
        <f>SUMIF('FY24'!A:A, 'Annual Budget '!A94, 'FY24'!AK:AK)</f>
        <v>0</v>
      </c>
      <c r="I94" s="462">
        <f>SUMIF(FBT!B:B, 'Annual Budget '!A94, FBT!J:J)</f>
        <v>0</v>
      </c>
      <c r="J94" s="3">
        <f t="shared" si="10"/>
        <v>78607.14</v>
      </c>
      <c r="K94" s="3">
        <f t="shared" si="11"/>
        <v>81800</v>
      </c>
      <c r="L94" s="158">
        <f t="shared" si="23"/>
        <v>1.6630539050328661E-2</v>
      </c>
      <c r="M94" s="158">
        <f t="shared" si="22"/>
        <v>0.96096748166259172</v>
      </c>
      <c r="N94" s="426"/>
    </row>
    <row r="95" spans="1:14" ht="15" customHeight="1">
      <c r="A95" s="374">
        <f t="shared" si="20"/>
        <v>85</v>
      </c>
      <c r="B95" s="40"/>
      <c r="C95" s="40" t="s">
        <v>34</v>
      </c>
      <c r="D95" s="40"/>
      <c r="E95" s="2">
        <v>116</v>
      </c>
      <c r="F95" s="457">
        <f>SUMIF('FY24'!A:A, 'Annual Budget '!A95, 'FY24'!AJ:AJ)</f>
        <v>19076.699999999997</v>
      </c>
      <c r="G95" s="462">
        <f>SUMIF(FBT!B:B, 'Annual Budget '!A95, FBT!I:I)</f>
        <v>118300</v>
      </c>
      <c r="H95" s="463">
        <f>SUMIF('FY24'!A:A, 'Annual Budget '!A95, 'FY24'!AK:AK)</f>
        <v>44970.13</v>
      </c>
      <c r="I95" s="462">
        <f>SUMIF(FBT!B:B, 'Annual Budget '!A95, FBT!J:J)</f>
        <v>0</v>
      </c>
      <c r="J95" s="3">
        <f t="shared" si="10"/>
        <v>64046.829999999994</v>
      </c>
      <c r="K95" s="3">
        <f t="shared" si="11"/>
        <v>118300</v>
      </c>
      <c r="L95" s="158">
        <f t="shared" si="23"/>
        <v>2.4051256352736926E-2</v>
      </c>
      <c r="M95" s="158">
        <f t="shared" si="22"/>
        <v>0.54139332206255275</v>
      </c>
      <c r="N95" s="426"/>
    </row>
    <row r="96" spans="1:14" ht="15" customHeight="1">
      <c r="A96" s="374">
        <f t="shared" si="20"/>
        <v>86</v>
      </c>
      <c r="B96" s="40"/>
      <c r="C96" s="56" t="s">
        <v>197</v>
      </c>
      <c r="D96" s="40"/>
      <c r="E96" s="2" t="s">
        <v>95</v>
      </c>
      <c r="F96" s="457">
        <f>SUMIF('FY24'!A:A, 'Annual Budget '!A96, 'FY24'!AJ:AJ)</f>
        <v>-438.13999999999942</v>
      </c>
      <c r="G96" s="462">
        <f>SUMIF(FBT!B:B, 'Annual Budget '!A96, FBT!I:I)</f>
        <v>134536</v>
      </c>
      <c r="H96" s="463">
        <f>SUMIF('FY24'!A:A, 'Annual Budget '!A96, 'FY24'!AK:AK)</f>
        <v>31869</v>
      </c>
      <c r="I96" s="462">
        <f>SUMIF(FBT!B:B, 'Annual Budget '!A96, FBT!J:J)</f>
        <v>0</v>
      </c>
      <c r="J96" s="4">
        <f t="shared" si="10"/>
        <v>31430.86</v>
      </c>
      <c r="K96" s="4">
        <f t="shared" si="11"/>
        <v>134536</v>
      </c>
      <c r="L96" s="162">
        <f t="shared" si="23"/>
        <v>2.7352154054706805E-2</v>
      </c>
      <c r="M96" s="162">
        <f t="shared" si="22"/>
        <v>0.23362416007611347</v>
      </c>
      <c r="N96" s="426"/>
    </row>
    <row r="97" spans="1:14" ht="15" customHeight="1">
      <c r="A97" s="375">
        <f t="shared" si="20"/>
        <v>87</v>
      </c>
      <c r="B97" s="58"/>
      <c r="C97" s="58"/>
      <c r="D97" s="59" t="s">
        <v>76</v>
      </c>
      <c r="E97" s="5" t="s">
        <v>6</v>
      </c>
      <c r="F97" s="8">
        <f>SUM(F89:F96)</f>
        <v>923290.43</v>
      </c>
      <c r="G97" s="9">
        <f>SUM(G89:G96)</f>
        <v>997919.38650000002</v>
      </c>
      <c r="H97" s="8">
        <f>SUM(H89:H96)</f>
        <v>884306.13</v>
      </c>
      <c r="I97" s="9">
        <f>SUM(I89:I96)</f>
        <v>1337336</v>
      </c>
      <c r="J97" s="6">
        <f t="shared" si="10"/>
        <v>1807596.56</v>
      </c>
      <c r="K97" s="6">
        <f t="shared" si="11"/>
        <v>2335255.3865</v>
      </c>
      <c r="L97" s="129">
        <f t="shared" si="23"/>
        <v>0.47477452197651099</v>
      </c>
      <c r="M97" s="129">
        <f t="shared" si="22"/>
        <v>0.77404662909659883</v>
      </c>
      <c r="N97" s="430"/>
    </row>
    <row r="98" spans="1:14" ht="17.25" customHeight="1">
      <c r="A98" s="378">
        <f t="shared" si="20"/>
        <v>88</v>
      </c>
      <c r="B98" s="51" t="s">
        <v>77</v>
      </c>
      <c r="C98" s="60"/>
      <c r="D98" s="51"/>
      <c r="E98" s="22"/>
      <c r="F98" s="26"/>
      <c r="G98" s="24"/>
      <c r="H98" s="25"/>
      <c r="I98" s="24"/>
      <c r="J98" s="23"/>
      <c r="K98" s="23"/>
      <c r="L98" s="179"/>
      <c r="M98" s="179"/>
      <c r="N98" s="438"/>
    </row>
    <row r="99" spans="1:14" ht="17.25" customHeight="1">
      <c r="A99" s="374">
        <f t="shared" si="20"/>
        <v>89</v>
      </c>
      <c r="B99" s="55"/>
      <c r="C99" s="55" t="s">
        <v>32</v>
      </c>
      <c r="D99" s="55"/>
      <c r="E99" s="15">
        <v>210</v>
      </c>
      <c r="F99" s="457">
        <f>SUMIF('FY24'!A:A, 'Annual Budget '!A99, 'FY24'!AJ:AJ)</f>
        <v>114584.52999999998</v>
      </c>
      <c r="G99" s="462">
        <f>SUMIF(FBT!B:B, 'Annual Budget '!A99, FBT!I:I)</f>
        <v>221685.09375</v>
      </c>
      <c r="H99" s="463">
        <f>SUMIF('FY24'!A:A, 'Annual Budget '!A99, 'FY24'!AK:AK)</f>
        <v>79140</v>
      </c>
      <c r="I99" s="462">
        <f>SUMIF(FBT!B:B, 'Annual Budget '!A99, FBT!J:J)</f>
        <v>0</v>
      </c>
      <c r="J99" s="14">
        <f t="shared" si="10"/>
        <v>193724.52999999997</v>
      </c>
      <c r="K99" s="14">
        <f t="shared" si="11"/>
        <v>221685.09375</v>
      </c>
      <c r="L99" s="146">
        <f t="shared" ref="L99:L106" si="24">K99/$K$156</f>
        <v>4.5070203037715709E-2</v>
      </c>
      <c r="M99" s="146">
        <f t="shared" ref="M99:M106" si="25">IFERROR(J99/K99,"")</f>
        <v>0.87387260335360262</v>
      </c>
      <c r="N99" s="425"/>
    </row>
    <row r="100" spans="1:14" ht="15" customHeight="1">
      <c r="A100" s="374">
        <f t="shared" si="20"/>
        <v>90</v>
      </c>
      <c r="B100" s="40"/>
      <c r="C100" s="40" t="s">
        <v>7</v>
      </c>
      <c r="D100" s="40"/>
      <c r="E100" s="2">
        <v>220</v>
      </c>
      <c r="F100" s="457">
        <f>SUMIF('FY24'!A:A, 'Annual Budget '!A100, 'FY24'!AJ:AJ)</f>
        <v>54737.680000000008</v>
      </c>
      <c r="G100" s="462">
        <f>SUMIF(FBT!B:B, 'Annual Budget '!A100, FBT!I:I)</f>
        <v>144785.83396300001</v>
      </c>
      <c r="H100" s="463">
        <f>SUMIF('FY24'!A:A, 'Annual Budget '!A100, 'FY24'!AK:AK)</f>
        <v>52721</v>
      </c>
      <c r="I100" s="462">
        <f>SUMIF(FBT!B:B, 'Annual Budget '!A100, FBT!J:J)</f>
        <v>0</v>
      </c>
      <c r="J100" s="3">
        <f t="shared" si="10"/>
        <v>107458.68000000001</v>
      </c>
      <c r="K100" s="3">
        <f t="shared" si="11"/>
        <v>144785.83396300001</v>
      </c>
      <c r="L100" s="158">
        <f t="shared" si="24"/>
        <v>2.9436020362543683E-2</v>
      </c>
      <c r="M100" s="158">
        <f t="shared" si="25"/>
        <v>0.74219056560092089</v>
      </c>
      <c r="N100" s="426"/>
    </row>
    <row r="101" spans="1:14" ht="15" customHeight="1">
      <c r="A101" s="374">
        <f t="shared" si="20"/>
        <v>91</v>
      </c>
      <c r="B101" s="40"/>
      <c r="C101" s="40" t="s">
        <v>23</v>
      </c>
      <c r="D101" s="40"/>
      <c r="E101" s="2">
        <v>225</v>
      </c>
      <c r="F101" s="457">
        <f>SUMIF('FY24'!A:A, 'Annual Budget '!A101, 'FY24'!AJ:AJ)</f>
        <v>12873.250000000002</v>
      </c>
      <c r="G101" s="462">
        <f>SUMIF(FBT!B:B, 'Annual Budget '!A101, FBT!I:I)</f>
        <v>33861.203104249995</v>
      </c>
      <c r="H101" s="463">
        <f>SUMIF('FY24'!A:A, 'Annual Budget '!A101, 'FY24'!AK:AK)</f>
        <v>12333</v>
      </c>
      <c r="I101" s="462">
        <f>SUMIF(FBT!B:B, 'Annual Budget '!A101, FBT!J:J)</f>
        <v>0</v>
      </c>
      <c r="J101" s="3">
        <f t="shared" si="10"/>
        <v>25206.25</v>
      </c>
      <c r="K101" s="3">
        <f t="shared" si="11"/>
        <v>33861.203104249995</v>
      </c>
      <c r="L101" s="158">
        <f t="shared" si="24"/>
        <v>6.8842305686594085E-3</v>
      </c>
      <c r="M101" s="158">
        <f t="shared" si="25"/>
        <v>0.74439912611481629</v>
      </c>
      <c r="N101" s="426"/>
    </row>
    <row r="102" spans="1:14" ht="15" customHeight="1">
      <c r="A102" s="374">
        <f t="shared" si="20"/>
        <v>92</v>
      </c>
      <c r="B102" s="40"/>
      <c r="C102" s="40" t="s">
        <v>8</v>
      </c>
      <c r="D102" s="40"/>
      <c r="E102" s="2" t="s">
        <v>116</v>
      </c>
      <c r="F102" s="457">
        <f>SUMIF('FY24'!A:A, 'Annual Budget '!A102, 'FY24'!AJ:AJ)</f>
        <v>24265.23</v>
      </c>
      <c r="G102" s="462">
        <f>SUMIF(FBT!B:B, 'Annual Budget '!A102, FBT!I:I)</f>
        <v>46705.107730000003</v>
      </c>
      <c r="H102" s="463">
        <f>SUMIF('FY24'!A:A, 'Annual Budget '!A102, 'FY24'!AK:AK)</f>
        <v>9599</v>
      </c>
      <c r="I102" s="462">
        <f>SUMIF(FBT!B:B, 'Annual Budget '!A102, FBT!J:J)</f>
        <v>0</v>
      </c>
      <c r="J102" s="3">
        <f t="shared" si="10"/>
        <v>33864.229999999996</v>
      </c>
      <c r="K102" s="3">
        <f t="shared" si="11"/>
        <v>46705.107730000003</v>
      </c>
      <c r="L102" s="158">
        <f t="shared" si="24"/>
        <v>9.49549043953022E-3</v>
      </c>
      <c r="M102" s="158">
        <f t="shared" si="25"/>
        <v>0.72506480866648448</v>
      </c>
      <c r="N102" s="426"/>
    </row>
    <row r="103" spans="1:14" ht="15" customHeight="1">
      <c r="A103" s="374">
        <f t="shared" si="20"/>
        <v>93</v>
      </c>
      <c r="B103" s="40"/>
      <c r="C103" s="40" t="s">
        <v>9</v>
      </c>
      <c r="D103" s="40"/>
      <c r="E103" s="2">
        <v>250</v>
      </c>
      <c r="F103" s="457">
        <f>SUMIF('FY24'!A:A, 'Annual Budget '!A103, 'FY24'!AJ:AJ)</f>
        <v>6727.8499999999995</v>
      </c>
      <c r="G103" s="462">
        <f>SUMIF(FBT!B:B, 'Annual Budget '!A103, FBT!I:I)</f>
        <v>23352.553865000002</v>
      </c>
      <c r="H103" s="463">
        <f>SUMIF('FY24'!A:A, 'Annual Budget '!A103, 'FY24'!AK:AK)</f>
        <v>0</v>
      </c>
      <c r="I103" s="462">
        <f>SUMIF(FBT!B:B, 'Annual Budget '!A103, FBT!J:J)</f>
        <v>0</v>
      </c>
      <c r="J103" s="3">
        <f t="shared" si="10"/>
        <v>6727.8499999999995</v>
      </c>
      <c r="K103" s="3">
        <f t="shared" si="11"/>
        <v>23352.553865000002</v>
      </c>
      <c r="L103" s="158">
        <f t="shared" si="24"/>
        <v>4.74774521976511E-3</v>
      </c>
      <c r="M103" s="158">
        <f t="shared" si="25"/>
        <v>0.28809911065373744</v>
      </c>
      <c r="N103" s="426"/>
    </row>
    <row r="104" spans="1:14" ht="15" customHeight="1">
      <c r="A104" s="374">
        <f t="shared" si="20"/>
        <v>94</v>
      </c>
      <c r="B104" s="40"/>
      <c r="C104" s="56" t="s">
        <v>33</v>
      </c>
      <c r="D104" s="40"/>
      <c r="E104" s="2">
        <v>270</v>
      </c>
      <c r="F104" s="457">
        <f>SUMIF('FY24'!A:A, 'Annual Budget '!A104, 'FY24'!AJ:AJ)</f>
        <v>0</v>
      </c>
      <c r="G104" s="462">
        <f>SUMIF(FBT!B:B, 'Annual Budget '!A104, FBT!I:I)</f>
        <v>0</v>
      </c>
      <c r="H104" s="463">
        <f>SUMIF('FY24'!A:A, 'Annual Budget '!A104, 'FY24'!AK:AK)</f>
        <v>0</v>
      </c>
      <c r="I104" s="462">
        <f>SUMIF(FBT!B:B, 'Annual Budget '!A104, FBT!J:J)</f>
        <v>0</v>
      </c>
      <c r="J104" s="3">
        <f t="shared" si="10"/>
        <v>0</v>
      </c>
      <c r="K104" s="3">
        <f t="shared" si="11"/>
        <v>0</v>
      </c>
      <c r="L104" s="158">
        <f t="shared" si="24"/>
        <v>0</v>
      </c>
      <c r="M104" s="158" t="str">
        <f t="shared" si="25"/>
        <v/>
      </c>
      <c r="N104" s="426"/>
    </row>
    <row r="105" spans="1:14" ht="15" customHeight="1">
      <c r="A105" s="374">
        <f t="shared" si="20"/>
        <v>95</v>
      </c>
      <c r="B105" s="40"/>
      <c r="C105" s="56" t="s">
        <v>198</v>
      </c>
      <c r="D105" s="40"/>
      <c r="E105" s="2" t="s">
        <v>10</v>
      </c>
      <c r="F105" s="457">
        <f>SUMIF('FY24'!A:A, 'Annual Budget '!A105, 'FY24'!AJ:AJ)</f>
        <v>10093.33</v>
      </c>
      <c r="G105" s="462">
        <f>SUMIF(FBT!B:B, 'Annual Budget '!A105, FBT!I:I)</f>
        <v>53928.553865000002</v>
      </c>
      <c r="H105" s="463">
        <f>SUMIF('FY24'!A:A, 'Annual Budget '!A105, 'FY24'!AK:AK)</f>
        <v>0</v>
      </c>
      <c r="I105" s="462">
        <f>SUMIF(FBT!B:B, 'Annual Budget '!A105, FBT!J:J)</f>
        <v>0</v>
      </c>
      <c r="J105" s="4">
        <f t="shared" si="10"/>
        <v>10093.33</v>
      </c>
      <c r="K105" s="4">
        <f t="shared" si="11"/>
        <v>53928.553865000002</v>
      </c>
      <c r="L105" s="162">
        <f t="shared" si="24"/>
        <v>1.0964069938626347E-2</v>
      </c>
      <c r="M105" s="162">
        <f t="shared" si="25"/>
        <v>0.18716114704775422</v>
      </c>
      <c r="N105" s="426"/>
    </row>
    <row r="106" spans="1:14" ht="15" customHeight="1">
      <c r="A106" s="375">
        <f t="shared" si="20"/>
        <v>96</v>
      </c>
      <c r="B106" s="58"/>
      <c r="C106" s="58"/>
      <c r="D106" s="59" t="s">
        <v>78</v>
      </c>
      <c r="E106" s="5" t="s">
        <v>11</v>
      </c>
      <c r="F106" s="8">
        <f>SUM(F99:F105)</f>
        <v>223281.87</v>
      </c>
      <c r="G106" s="9">
        <f>SUM(G99:G105)</f>
        <v>524318.34627724998</v>
      </c>
      <c r="H106" s="8">
        <f>SUM(H99:H105)</f>
        <v>153793</v>
      </c>
      <c r="I106" s="9">
        <f>SUM(I99:I105)</f>
        <v>0</v>
      </c>
      <c r="J106" s="6">
        <f t="shared" ref="J106:J156" si="26">H106+F106</f>
        <v>377074.87</v>
      </c>
      <c r="K106" s="6">
        <f t="shared" ref="K106:K156" si="27">I106+G106</f>
        <v>524318.34627724998</v>
      </c>
      <c r="L106" s="129">
        <f t="shared" si="24"/>
        <v>0.10659775956684046</v>
      </c>
      <c r="M106" s="129">
        <f t="shared" si="25"/>
        <v>0.71917161144044672</v>
      </c>
      <c r="N106" s="430"/>
    </row>
    <row r="107" spans="1:14" ht="17.25" customHeight="1">
      <c r="A107" s="378">
        <f t="shared" si="20"/>
        <v>97</v>
      </c>
      <c r="B107" s="51" t="s">
        <v>80</v>
      </c>
      <c r="C107" s="60"/>
      <c r="D107" s="51"/>
      <c r="E107" s="22"/>
      <c r="F107" s="26"/>
      <c r="G107" s="24"/>
      <c r="H107" s="25"/>
      <c r="I107" s="24"/>
      <c r="J107" s="23"/>
      <c r="K107" s="23"/>
      <c r="L107" s="179"/>
      <c r="M107" s="179"/>
      <c r="N107" s="438"/>
    </row>
    <row r="108" spans="1:14" ht="17.25" customHeight="1">
      <c r="A108" s="374">
        <f t="shared" si="20"/>
        <v>98</v>
      </c>
      <c r="B108" s="55"/>
      <c r="C108" s="55" t="s">
        <v>12</v>
      </c>
      <c r="D108" s="55"/>
      <c r="E108" s="15">
        <v>332</v>
      </c>
      <c r="F108" s="457">
        <f>SUMIF('FY24'!A:A, 'Annual Budget '!A108, 'FY24'!AJ:AJ)</f>
        <v>2336.9899999999998</v>
      </c>
      <c r="G108" s="462">
        <f>SUMIF(FBT!B:B, 'Annual Budget '!A108, FBT!I:I)</f>
        <v>12500</v>
      </c>
      <c r="H108" s="463">
        <f>SUMIF('FY24'!A:A, 'Annual Budget '!A108, 'FY24'!AK:AK)</f>
        <v>0</v>
      </c>
      <c r="I108" s="462">
        <f>SUMIF(FBT!B:B, 'Annual Budget '!A108, FBT!J:J)</f>
        <v>0</v>
      </c>
      <c r="J108" s="14">
        <f t="shared" si="26"/>
        <v>2336.9899999999998</v>
      </c>
      <c r="K108" s="14">
        <f t="shared" si="27"/>
        <v>12500</v>
      </c>
      <c r="L108" s="146">
        <f t="shared" ref="L108:L112" si="28">K108/$K$156</f>
        <v>2.5413415419206389E-3</v>
      </c>
      <c r="M108" s="146">
        <f t="shared" ref="M108:M112" si="29">IFERROR(J108/K108,"")</f>
        <v>0.18695919999999999</v>
      </c>
      <c r="N108" s="425"/>
    </row>
    <row r="109" spans="1:14" ht="15" customHeight="1">
      <c r="A109" s="374">
        <f t="shared" si="20"/>
        <v>99</v>
      </c>
      <c r="B109" s="40"/>
      <c r="C109" s="40" t="s">
        <v>13</v>
      </c>
      <c r="D109" s="40"/>
      <c r="E109" s="2">
        <v>333</v>
      </c>
      <c r="F109" s="457">
        <f>SUMIF('FY24'!A:A, 'Annual Budget '!A109, 'FY24'!AJ:AJ)</f>
        <v>28646.080000000002</v>
      </c>
      <c r="G109" s="462">
        <f>SUMIF(FBT!B:B, 'Annual Budget '!A109, FBT!I:I)</f>
        <v>17199</v>
      </c>
      <c r="H109" s="463">
        <f>SUMIF('FY24'!A:A, 'Annual Budget '!A109, 'FY24'!AK:AK)</f>
        <v>71433.75</v>
      </c>
      <c r="I109" s="462">
        <f>SUMIF(FBT!B:B, 'Annual Budget '!A109, FBT!J:J)</f>
        <v>0</v>
      </c>
      <c r="J109" s="3">
        <f t="shared" si="26"/>
        <v>100079.83</v>
      </c>
      <c r="K109" s="3">
        <f t="shared" si="27"/>
        <v>17199</v>
      </c>
      <c r="L109" s="158">
        <f t="shared" si="28"/>
        <v>3.4966826543594452E-3</v>
      </c>
      <c r="M109" s="158">
        <f t="shared" si="29"/>
        <v>5.8189330775045063</v>
      </c>
      <c r="N109" s="426"/>
    </row>
    <row r="110" spans="1:14" ht="15" customHeight="1">
      <c r="A110" s="374">
        <f t="shared" si="20"/>
        <v>100</v>
      </c>
      <c r="B110" s="40"/>
      <c r="C110" s="40" t="s">
        <v>35</v>
      </c>
      <c r="D110" s="40"/>
      <c r="E110" s="2" t="s">
        <v>96</v>
      </c>
      <c r="F110" s="457">
        <f>SUMIF('FY24'!A:A, 'Annual Budget '!A110, 'FY24'!AJ:AJ)</f>
        <v>0</v>
      </c>
      <c r="G110" s="462">
        <f>SUMIF(FBT!B:B, 'Annual Budget '!A110, FBT!I:I)</f>
        <v>0</v>
      </c>
      <c r="H110" s="463">
        <f>SUMIF('FY24'!A:A, 'Annual Budget '!A110, 'FY24'!AK:AK)</f>
        <v>0</v>
      </c>
      <c r="I110" s="462">
        <f>SUMIF(FBT!B:B, 'Annual Budget '!A110, FBT!J:J)</f>
        <v>0</v>
      </c>
      <c r="J110" s="3">
        <f t="shared" si="26"/>
        <v>0</v>
      </c>
      <c r="K110" s="3">
        <f t="shared" si="27"/>
        <v>0</v>
      </c>
      <c r="L110" s="158">
        <f t="shared" si="28"/>
        <v>0</v>
      </c>
      <c r="M110" s="158" t="str">
        <f t="shared" si="29"/>
        <v/>
      </c>
      <c r="N110" s="426"/>
    </row>
    <row r="111" spans="1:14" ht="15" customHeight="1">
      <c r="A111" s="374">
        <f t="shared" si="20"/>
        <v>101</v>
      </c>
      <c r="B111" s="40"/>
      <c r="C111" s="56" t="s">
        <v>199</v>
      </c>
      <c r="D111" s="40"/>
      <c r="E111" s="2" t="s">
        <v>96</v>
      </c>
      <c r="F111" s="457">
        <f>SUMIF('FY24'!A:A, 'Annual Budget '!A111, 'FY24'!AJ:AJ)</f>
        <v>318417.93000000005</v>
      </c>
      <c r="G111" s="462">
        <f>SUMIF(FBT!B:B, 'Annual Budget '!A111, FBT!I:I)</f>
        <v>730338</v>
      </c>
      <c r="H111" s="463">
        <f>SUMIF('FY24'!A:A, 'Annual Budget '!A111, 'FY24'!AK:AK)</f>
        <v>343384.91000000003</v>
      </c>
      <c r="I111" s="462">
        <f>SUMIF(FBT!B:B, 'Annual Budget '!A111, FBT!J:J)</f>
        <v>16794</v>
      </c>
      <c r="J111" s="4">
        <f t="shared" si="26"/>
        <v>661802.84000000008</v>
      </c>
      <c r="K111" s="4">
        <f t="shared" si="27"/>
        <v>747132</v>
      </c>
      <c r="L111" s="162">
        <f t="shared" si="28"/>
        <v>0.15189740711186006</v>
      </c>
      <c r="M111" s="162">
        <f t="shared" si="29"/>
        <v>0.8857910516481694</v>
      </c>
      <c r="N111" s="426"/>
    </row>
    <row r="112" spans="1:14" ht="15" customHeight="1">
      <c r="A112" s="375">
        <f t="shared" si="20"/>
        <v>102</v>
      </c>
      <c r="B112" s="58"/>
      <c r="C112" s="58"/>
      <c r="D112" s="59" t="s">
        <v>79</v>
      </c>
      <c r="E112" s="5" t="s">
        <v>14</v>
      </c>
      <c r="F112" s="8">
        <f>SUM(F108:F111)</f>
        <v>349401.00000000006</v>
      </c>
      <c r="G112" s="9">
        <f>SUM(G108:G111)</f>
        <v>760037</v>
      </c>
      <c r="H112" s="8">
        <f>SUM(H108:H111)</f>
        <v>414818.66000000003</v>
      </c>
      <c r="I112" s="9">
        <f>SUM(I108:I111)</f>
        <v>16794</v>
      </c>
      <c r="J112" s="6">
        <f t="shared" si="26"/>
        <v>764219.66000000015</v>
      </c>
      <c r="K112" s="6">
        <f t="shared" si="27"/>
        <v>776831</v>
      </c>
      <c r="L112" s="129">
        <f t="shared" si="28"/>
        <v>0.15793543130814014</v>
      </c>
      <c r="M112" s="129">
        <f t="shared" si="29"/>
        <v>0.98376565816760675</v>
      </c>
      <c r="N112" s="430"/>
    </row>
    <row r="113" spans="1:14" ht="17.25" customHeight="1">
      <c r="A113" s="378">
        <f t="shared" si="20"/>
        <v>103</v>
      </c>
      <c r="B113" s="51" t="s">
        <v>81</v>
      </c>
      <c r="C113" s="51"/>
      <c r="D113" s="51"/>
      <c r="E113" s="22"/>
      <c r="F113" s="26"/>
      <c r="G113" s="24"/>
      <c r="H113" s="25"/>
      <c r="I113" s="24"/>
      <c r="J113" s="23"/>
      <c r="K113" s="23"/>
      <c r="L113" s="179"/>
      <c r="M113" s="179"/>
      <c r="N113" s="438"/>
    </row>
    <row r="114" spans="1:14" ht="17.25" customHeight="1">
      <c r="A114" s="374">
        <f t="shared" si="20"/>
        <v>104</v>
      </c>
      <c r="B114" s="61"/>
      <c r="C114" s="55" t="s">
        <v>24</v>
      </c>
      <c r="D114" s="55"/>
      <c r="E114" s="15">
        <v>411</v>
      </c>
      <c r="F114" s="457">
        <f>SUMIF('FY24'!A:A, 'Annual Budget '!A114, 'FY24'!AJ:AJ)</f>
        <v>10286.040000000001</v>
      </c>
      <c r="G114" s="462">
        <f>SUMIF(FBT!B:B, 'Annual Budget '!A114, FBT!I:I)</f>
        <v>24500</v>
      </c>
      <c r="H114" s="463">
        <f>SUMIF('FY24'!A:A, 'Annual Budget '!A114, 'FY24'!AK:AK)</f>
        <v>0</v>
      </c>
      <c r="I114" s="462">
        <f>SUMIF(FBT!B:B, 'Annual Budget '!A114, FBT!J:J)</f>
        <v>0</v>
      </c>
      <c r="J114" s="14">
        <f t="shared" si="26"/>
        <v>10286.040000000001</v>
      </c>
      <c r="K114" s="14">
        <f t="shared" si="27"/>
        <v>24500</v>
      </c>
      <c r="L114" s="146">
        <f t="shared" ref="L114:L119" si="30">K114/$K$156</f>
        <v>4.9810294221644515E-3</v>
      </c>
      <c r="M114" s="146">
        <f t="shared" ref="M114:M119" si="31">IFERROR(J114/K114,"")</f>
        <v>0.4198383673469388</v>
      </c>
      <c r="N114" s="425"/>
    </row>
    <row r="115" spans="1:14" ht="15" customHeight="1">
      <c r="A115" s="374">
        <f t="shared" si="20"/>
        <v>105</v>
      </c>
      <c r="B115" s="62"/>
      <c r="C115" s="63" t="s">
        <v>114</v>
      </c>
      <c r="D115" s="40"/>
      <c r="E115" s="2">
        <v>441</v>
      </c>
      <c r="F115" s="457">
        <f>SUMIF('FY24'!A:A, 'Annual Budget '!A115, 'FY24'!AJ:AJ)</f>
        <v>15174.8</v>
      </c>
      <c r="G115" s="462">
        <f>SUMIF(FBT!B:B, 'Annual Budget '!A115, FBT!I:I)</f>
        <v>0</v>
      </c>
      <c r="H115" s="463">
        <f>SUMIF('FY24'!A:A, 'Annual Budget '!A115, 'FY24'!AK:AK)</f>
        <v>0</v>
      </c>
      <c r="I115" s="462">
        <f>SUMIF(FBT!B:B, 'Annual Budget '!A115, FBT!J:J)</f>
        <v>0</v>
      </c>
      <c r="J115" s="3">
        <f t="shared" si="26"/>
        <v>15174.8</v>
      </c>
      <c r="K115" s="3">
        <f t="shared" si="27"/>
        <v>0</v>
      </c>
      <c r="L115" s="158">
        <f t="shared" si="30"/>
        <v>0</v>
      </c>
      <c r="M115" s="158" t="str">
        <f t="shared" si="31"/>
        <v/>
      </c>
      <c r="N115" s="426"/>
    </row>
    <row r="116" spans="1:14" ht="15" customHeight="1">
      <c r="A116" s="374">
        <f t="shared" si="20"/>
        <v>106</v>
      </c>
      <c r="B116" s="62"/>
      <c r="C116" s="40" t="s">
        <v>97</v>
      </c>
      <c r="D116" s="40"/>
      <c r="E116" s="2">
        <v>442</v>
      </c>
      <c r="F116" s="457">
        <f>SUMIF('FY24'!A:A, 'Annual Budget '!A116, 'FY24'!AJ:AJ)</f>
        <v>20825.14</v>
      </c>
      <c r="G116" s="462">
        <f>SUMIF(FBT!B:B, 'Annual Budget '!A116, FBT!I:I)</f>
        <v>22070</v>
      </c>
      <c r="H116" s="463">
        <f>SUMIF('FY24'!A:A, 'Annual Budget '!A116, 'FY24'!AK:AK)</f>
        <v>0</v>
      </c>
      <c r="I116" s="462">
        <f>SUMIF(FBT!B:B, 'Annual Budget '!A116, FBT!J:J)</f>
        <v>0</v>
      </c>
      <c r="J116" s="3">
        <f t="shared" si="26"/>
        <v>20825.14</v>
      </c>
      <c r="K116" s="3">
        <f t="shared" si="27"/>
        <v>22070</v>
      </c>
      <c r="L116" s="158">
        <f t="shared" si="30"/>
        <v>4.4869926264150799E-3</v>
      </c>
      <c r="M116" s="158">
        <f t="shared" si="31"/>
        <v>0.94359492523787947</v>
      </c>
      <c r="N116" s="426"/>
    </row>
    <row r="117" spans="1:14" ht="15" customHeight="1">
      <c r="A117" s="374">
        <f t="shared" si="20"/>
        <v>107</v>
      </c>
      <c r="B117" s="62"/>
      <c r="C117" s="40" t="s">
        <v>36</v>
      </c>
      <c r="D117" s="40"/>
      <c r="E117" s="2">
        <v>430</v>
      </c>
      <c r="F117" s="457">
        <f>SUMIF('FY24'!A:A, 'Annual Budget '!A117, 'FY24'!AJ:AJ)</f>
        <v>73983.850000000006</v>
      </c>
      <c r="G117" s="462">
        <f>SUMIF(FBT!B:B, 'Annual Budget '!A117, FBT!I:I)</f>
        <v>81000</v>
      </c>
      <c r="H117" s="463">
        <f>SUMIF('FY24'!A:A, 'Annual Budget '!A117, 'FY24'!AK:AK)</f>
        <v>0</v>
      </c>
      <c r="I117" s="462">
        <f>SUMIF(FBT!B:B, 'Annual Budget '!A117, FBT!J:J)</f>
        <v>0</v>
      </c>
      <c r="J117" s="3">
        <f t="shared" si="26"/>
        <v>73983.850000000006</v>
      </c>
      <c r="K117" s="3">
        <f t="shared" si="27"/>
        <v>81000</v>
      </c>
      <c r="L117" s="158">
        <f t="shared" si="30"/>
        <v>1.6467893191645738E-2</v>
      </c>
      <c r="M117" s="158">
        <f t="shared" si="31"/>
        <v>0.91338086419753095</v>
      </c>
      <c r="N117" s="426"/>
    </row>
    <row r="118" spans="1:14" ht="15" customHeight="1">
      <c r="A118" s="374">
        <f t="shared" si="20"/>
        <v>108</v>
      </c>
      <c r="B118" s="40"/>
      <c r="C118" s="56" t="s">
        <v>200</v>
      </c>
      <c r="D118" s="40"/>
      <c r="E118" s="7" t="s">
        <v>98</v>
      </c>
      <c r="F118" s="457">
        <f>SUMIF('FY24'!A:A, 'Annual Budget '!A118, 'FY24'!AJ:AJ)</f>
        <v>74913.62</v>
      </c>
      <c r="G118" s="462">
        <f>SUMIF(FBT!B:B, 'Annual Budget '!A118, FBT!I:I)</f>
        <v>78039</v>
      </c>
      <c r="H118" s="463">
        <f>SUMIF('FY24'!A:A, 'Annual Budget '!A118, 'FY24'!AK:AK)</f>
        <v>0</v>
      </c>
      <c r="I118" s="462">
        <f>SUMIF(FBT!B:B, 'Annual Budget '!A118, FBT!J:J)</f>
        <v>0</v>
      </c>
      <c r="J118" s="4">
        <f t="shared" si="26"/>
        <v>74913.62</v>
      </c>
      <c r="K118" s="4">
        <f t="shared" si="27"/>
        <v>78039</v>
      </c>
      <c r="L118" s="162">
        <f t="shared" si="30"/>
        <v>1.5865900207195579E-2</v>
      </c>
      <c r="M118" s="162">
        <f t="shared" si="31"/>
        <v>0.9599510501159676</v>
      </c>
      <c r="N118" s="426"/>
    </row>
    <row r="119" spans="1:14" ht="15" customHeight="1" thickBot="1">
      <c r="A119" s="376">
        <f t="shared" si="20"/>
        <v>109</v>
      </c>
      <c r="B119" s="64"/>
      <c r="C119" s="64" t="s">
        <v>82</v>
      </c>
      <c r="D119" s="65"/>
      <c r="E119" s="32">
        <v>400</v>
      </c>
      <c r="F119" s="33">
        <f>SUM(F114:F118)</f>
        <v>195183.45</v>
      </c>
      <c r="G119" s="34">
        <f>SUM(G114:G118)</f>
        <v>205609</v>
      </c>
      <c r="H119" s="33">
        <f>SUM(H114:H118)</f>
        <v>0</v>
      </c>
      <c r="I119" s="34">
        <f>SUM(I114:I118)</f>
        <v>0</v>
      </c>
      <c r="J119" s="359">
        <f t="shared" si="26"/>
        <v>195183.45</v>
      </c>
      <c r="K119" s="359">
        <f t="shared" si="27"/>
        <v>205609</v>
      </c>
      <c r="L119" s="163">
        <f t="shared" si="30"/>
        <v>4.1801815447420849E-2</v>
      </c>
      <c r="M119" s="163">
        <f t="shared" si="31"/>
        <v>0.94929429159229417</v>
      </c>
      <c r="N119" s="441"/>
    </row>
    <row r="120" spans="1:14" ht="17.25" customHeight="1" thickTop="1">
      <c r="A120" s="379">
        <f t="shared" si="20"/>
        <v>110</v>
      </c>
      <c r="B120" s="66" t="s">
        <v>99</v>
      </c>
      <c r="C120" s="66"/>
      <c r="D120" s="66"/>
      <c r="E120" s="27"/>
      <c r="F120" s="28"/>
      <c r="G120" s="29"/>
      <c r="H120" s="30"/>
      <c r="I120" s="29"/>
      <c r="J120" s="31"/>
      <c r="K120" s="31"/>
      <c r="L120" s="180"/>
      <c r="M120" s="180"/>
      <c r="N120" s="440"/>
    </row>
    <row r="121" spans="1:14" ht="17.25" customHeight="1">
      <c r="A121" s="374">
        <f t="shared" si="20"/>
        <v>111</v>
      </c>
      <c r="B121" s="61"/>
      <c r="C121" s="54" t="s">
        <v>15</v>
      </c>
      <c r="D121" s="55"/>
      <c r="E121" s="15" t="s">
        <v>16</v>
      </c>
      <c r="F121" s="457">
        <f>SUMIF('FY24'!A:A, 'Annual Budget '!A121, 'FY24'!AJ:AJ)</f>
        <v>94920.59</v>
      </c>
      <c r="G121" s="462">
        <f>SUMIF(FBT!B:B, 'Annual Budget '!A121, FBT!I:I)</f>
        <v>351360</v>
      </c>
      <c r="H121" s="463">
        <f>SUMIF('FY24'!A:A, 'Annual Budget '!A121, 'FY24'!AK:AK)</f>
        <v>174385.52</v>
      </c>
      <c r="I121" s="462">
        <f>SUMIF(FBT!B:B, 'Annual Budget '!A121, FBT!J:J)</f>
        <v>0</v>
      </c>
      <c r="J121" s="14">
        <f t="shared" si="26"/>
        <v>269306.11</v>
      </c>
      <c r="K121" s="14">
        <f t="shared" si="27"/>
        <v>351360</v>
      </c>
      <c r="L121" s="146">
        <f t="shared" ref="L121:L130" si="32">K121/$K$156</f>
        <v>7.1434061133538854E-2</v>
      </c>
      <c r="M121" s="146">
        <f t="shared" ref="M121:M130" si="33">IFERROR(J121/K121,"")</f>
        <v>0.7664677538706739</v>
      </c>
      <c r="N121" s="425"/>
    </row>
    <row r="122" spans="1:14" ht="15" customHeight="1">
      <c r="A122" s="374">
        <f t="shared" si="20"/>
        <v>112</v>
      </c>
      <c r="B122" s="61"/>
      <c r="C122" s="54" t="s">
        <v>146</v>
      </c>
      <c r="D122" s="55"/>
      <c r="E122" s="15">
        <v>522</v>
      </c>
      <c r="F122" s="457">
        <f>SUMIF('FY24'!A:A, 'Annual Budget '!A122, 'FY24'!AJ:AJ)</f>
        <v>13868.39</v>
      </c>
      <c r="G122" s="462">
        <f>SUMIF(FBT!B:B, 'Annual Budget '!A122, FBT!I:I)</f>
        <v>0</v>
      </c>
      <c r="H122" s="463">
        <f>SUMIF('FY24'!A:A, 'Annual Budget '!A122, 'FY24'!AK:AK)</f>
        <v>0</v>
      </c>
      <c r="I122" s="462">
        <f>SUMIF(FBT!B:B, 'Annual Budget '!A122, FBT!J:J)</f>
        <v>0</v>
      </c>
      <c r="J122" s="14">
        <f t="shared" si="26"/>
        <v>13868.39</v>
      </c>
      <c r="K122" s="14">
        <f t="shared" si="27"/>
        <v>0</v>
      </c>
      <c r="L122" s="146">
        <f t="shared" si="32"/>
        <v>0</v>
      </c>
      <c r="M122" s="146" t="str">
        <f t="shared" si="33"/>
        <v/>
      </c>
      <c r="N122" s="425"/>
    </row>
    <row r="123" spans="1:14" ht="15" customHeight="1">
      <c r="A123" s="374">
        <f t="shared" si="20"/>
        <v>113</v>
      </c>
      <c r="B123" s="61"/>
      <c r="C123" s="54" t="s">
        <v>147</v>
      </c>
      <c r="D123" s="55"/>
      <c r="E123" s="15">
        <v>521</v>
      </c>
      <c r="F123" s="457">
        <f>SUMIF('FY24'!A:A, 'Annual Budget '!A123, 'FY24'!AJ:AJ)</f>
        <v>34081.26</v>
      </c>
      <c r="G123" s="462">
        <f>SUMIF(FBT!B:B, 'Annual Budget '!A123, FBT!I:I)</f>
        <v>51000</v>
      </c>
      <c r="H123" s="463">
        <f>SUMIF('FY24'!A:A, 'Annual Budget '!A123, 'FY24'!AK:AK)</f>
        <v>0</v>
      </c>
      <c r="I123" s="462">
        <f>SUMIF(FBT!B:B, 'Annual Budget '!A123, FBT!J:J)</f>
        <v>0</v>
      </c>
      <c r="J123" s="14">
        <f t="shared" si="26"/>
        <v>34081.26</v>
      </c>
      <c r="K123" s="14">
        <f t="shared" si="27"/>
        <v>51000</v>
      </c>
      <c r="L123" s="146">
        <f t="shared" si="32"/>
        <v>1.0368673491036207E-2</v>
      </c>
      <c r="M123" s="146">
        <f t="shared" si="33"/>
        <v>0.66826000000000008</v>
      </c>
      <c r="N123" s="425"/>
    </row>
    <row r="124" spans="1:14" ht="15" customHeight="1">
      <c r="A124" s="374">
        <f t="shared" si="20"/>
        <v>114</v>
      </c>
      <c r="B124" s="61"/>
      <c r="C124" s="54" t="s">
        <v>148</v>
      </c>
      <c r="D124" s="55"/>
      <c r="E124" s="15">
        <v>523</v>
      </c>
      <c r="F124" s="457">
        <f>SUMIF('FY24'!A:A, 'Annual Budget '!A124, 'FY24'!AJ:AJ)</f>
        <v>0</v>
      </c>
      <c r="G124" s="462">
        <f>SUMIF(FBT!B:B, 'Annual Budget '!A124, FBT!I:I)</f>
        <v>0</v>
      </c>
      <c r="H124" s="463">
        <f>SUMIF('FY24'!A:A, 'Annual Budget '!A124, 'FY24'!AK:AK)</f>
        <v>0</v>
      </c>
      <c r="I124" s="462">
        <f>SUMIF(FBT!B:B, 'Annual Budget '!A124, FBT!J:J)</f>
        <v>0</v>
      </c>
      <c r="J124" s="14">
        <f t="shared" si="26"/>
        <v>0</v>
      </c>
      <c r="K124" s="14">
        <f t="shared" si="27"/>
        <v>0</v>
      </c>
      <c r="L124" s="146">
        <f t="shared" si="32"/>
        <v>0</v>
      </c>
      <c r="M124" s="146" t="str">
        <f t="shared" si="33"/>
        <v/>
      </c>
      <c r="N124" s="425"/>
    </row>
    <row r="125" spans="1:14" ht="15" customHeight="1">
      <c r="A125" s="374">
        <f t="shared" si="20"/>
        <v>115</v>
      </c>
      <c r="B125" s="61"/>
      <c r="C125" s="54" t="s">
        <v>149</v>
      </c>
      <c r="D125" s="55"/>
      <c r="E125" s="15">
        <v>524</v>
      </c>
      <c r="F125" s="457">
        <f>SUMIF('FY24'!A:A, 'Annual Budget '!A125, 'FY24'!AJ:AJ)</f>
        <v>0</v>
      </c>
      <c r="G125" s="462">
        <f>SUMIF(FBT!B:B, 'Annual Budget '!A125, FBT!I:I)</f>
        <v>0</v>
      </c>
      <c r="H125" s="463">
        <f>SUMIF('FY24'!A:A, 'Annual Budget '!A125, 'FY24'!AK:AK)</f>
        <v>0</v>
      </c>
      <c r="I125" s="462">
        <f>SUMIF(FBT!B:B, 'Annual Budget '!A125, FBT!J:J)</f>
        <v>0</v>
      </c>
      <c r="J125" s="14">
        <f t="shared" si="26"/>
        <v>0</v>
      </c>
      <c r="K125" s="14">
        <f t="shared" si="27"/>
        <v>0</v>
      </c>
      <c r="L125" s="146">
        <f t="shared" si="32"/>
        <v>0</v>
      </c>
      <c r="M125" s="146" t="str">
        <f t="shared" si="33"/>
        <v/>
      </c>
      <c r="N125" s="425"/>
    </row>
    <row r="126" spans="1:14" ht="15" customHeight="1">
      <c r="A126" s="374">
        <f t="shared" si="20"/>
        <v>116</v>
      </c>
      <c r="B126" s="62"/>
      <c r="C126" s="72" t="s">
        <v>150</v>
      </c>
      <c r="D126" s="40"/>
      <c r="E126" s="2">
        <v>525</v>
      </c>
      <c r="F126" s="457">
        <f>SUMIF('FY24'!A:A, 'Annual Budget '!A126, 'FY24'!AJ:AJ)</f>
        <v>0</v>
      </c>
      <c r="G126" s="462">
        <f>SUMIF(FBT!B:B, 'Annual Budget '!A126, FBT!I:I)</f>
        <v>0</v>
      </c>
      <c r="H126" s="463">
        <f>SUMIF('FY24'!A:A, 'Annual Budget '!A126, 'FY24'!AK:AK)</f>
        <v>0</v>
      </c>
      <c r="I126" s="462">
        <f>SUMIF(FBT!B:B, 'Annual Budget '!A126, FBT!J:J)</f>
        <v>0</v>
      </c>
      <c r="J126" s="3">
        <f t="shared" si="26"/>
        <v>0</v>
      </c>
      <c r="K126" s="3">
        <f t="shared" si="27"/>
        <v>0</v>
      </c>
      <c r="L126" s="158">
        <f t="shared" si="32"/>
        <v>0</v>
      </c>
      <c r="M126" s="158" t="str">
        <f t="shared" si="33"/>
        <v/>
      </c>
      <c r="N126" s="426"/>
    </row>
    <row r="127" spans="1:14" ht="17.25" customHeight="1">
      <c r="A127" s="374">
        <f t="shared" si="20"/>
        <v>117</v>
      </c>
      <c r="B127" s="40"/>
      <c r="C127" s="56" t="s">
        <v>115</v>
      </c>
      <c r="D127" s="40"/>
      <c r="E127" s="7" t="s">
        <v>100</v>
      </c>
      <c r="F127" s="457">
        <f>SUMIF('FY24'!A:A, 'Annual Budget '!A127, 'FY24'!AJ:AJ)</f>
        <v>0</v>
      </c>
      <c r="G127" s="462">
        <f>SUMIF(FBT!B:B, 'Annual Budget '!A127, FBT!I:I)</f>
        <v>0</v>
      </c>
      <c r="H127" s="463">
        <f>SUMIF('FY24'!A:A, 'Annual Budget '!A127, 'FY24'!AK:AK)</f>
        <v>144882.23999999999</v>
      </c>
      <c r="I127" s="462">
        <f>SUMIF(FBT!B:B, 'Annual Budget '!A127, FBT!J:J)</f>
        <v>267500</v>
      </c>
      <c r="J127" s="3">
        <f t="shared" si="26"/>
        <v>144882.23999999999</v>
      </c>
      <c r="K127" s="3">
        <f t="shared" si="27"/>
        <v>267500</v>
      </c>
      <c r="L127" s="158">
        <f t="shared" si="32"/>
        <v>5.4384708997101669E-2</v>
      </c>
      <c r="M127" s="158">
        <f t="shared" si="33"/>
        <v>0.54161585046728966</v>
      </c>
      <c r="N127" s="426"/>
    </row>
    <row r="128" spans="1:14" ht="17.25" customHeight="1">
      <c r="A128" s="374">
        <f t="shared" si="20"/>
        <v>118</v>
      </c>
      <c r="B128" s="40"/>
      <c r="C128" s="40" t="s">
        <v>17</v>
      </c>
      <c r="D128" s="40"/>
      <c r="E128" s="2" t="s">
        <v>131</v>
      </c>
      <c r="F128" s="457">
        <f>SUMIF('FY24'!A:A, 'Annual Budget '!A128, 'FY24'!AJ:AJ)</f>
        <v>345.33</v>
      </c>
      <c r="G128" s="462">
        <f>SUMIF(FBT!B:B, 'Annual Budget '!A128, FBT!I:I)</f>
        <v>20000</v>
      </c>
      <c r="H128" s="463">
        <f>SUMIF('FY24'!A:A, 'Annual Budget '!A128, 'FY24'!AK:AK)</f>
        <v>0</v>
      </c>
      <c r="I128" s="462">
        <f>SUMIF(FBT!B:B, 'Annual Budget '!A128, FBT!J:J)</f>
        <v>0</v>
      </c>
      <c r="J128" s="3">
        <f t="shared" si="26"/>
        <v>345.33</v>
      </c>
      <c r="K128" s="3">
        <f t="shared" si="27"/>
        <v>20000</v>
      </c>
      <c r="L128" s="158">
        <f t="shared" si="32"/>
        <v>4.0661464670730223E-3</v>
      </c>
      <c r="M128" s="158">
        <f t="shared" si="33"/>
        <v>1.7266500000000001E-2</v>
      </c>
      <c r="N128" s="426"/>
    </row>
    <row r="129" spans="1:14" ht="15" customHeight="1">
      <c r="A129" s="374">
        <f t="shared" si="20"/>
        <v>119</v>
      </c>
      <c r="B129" s="40"/>
      <c r="C129" s="56" t="s">
        <v>201</v>
      </c>
      <c r="D129" s="40"/>
      <c r="E129" s="2" t="s">
        <v>121</v>
      </c>
      <c r="F129" s="457">
        <f>SUMIF('FY24'!A:A, 'Annual Budget '!A129, 'FY24'!AJ:AJ)</f>
        <v>68058.149999999994</v>
      </c>
      <c r="G129" s="462">
        <f>SUMIF(FBT!B:B, 'Annual Budget '!A129, FBT!I:I)</f>
        <v>104538.23917990293</v>
      </c>
      <c r="H129" s="463">
        <f>SUMIF('FY24'!A:A, 'Annual Budget '!A129, 'FY24'!AK:AK)</f>
        <v>0</v>
      </c>
      <c r="I129" s="462">
        <f>SUMIF(FBT!B:B, 'Annual Budget '!A129, FBT!J:J)</f>
        <v>0</v>
      </c>
      <c r="J129" s="4">
        <f t="shared" si="26"/>
        <v>68058.149999999994</v>
      </c>
      <c r="K129" s="4">
        <f t="shared" si="27"/>
        <v>104538.23917990293</v>
      </c>
      <c r="L129" s="162">
        <f t="shared" si="32"/>
        <v>2.1253389595769844E-2</v>
      </c>
      <c r="M129" s="162">
        <f t="shared" si="33"/>
        <v>0.65103593224749767</v>
      </c>
      <c r="N129" s="426"/>
    </row>
    <row r="130" spans="1:14" ht="15" customHeight="1">
      <c r="A130" s="375">
        <f t="shared" si="20"/>
        <v>120</v>
      </c>
      <c r="B130" s="58"/>
      <c r="C130" s="58" t="s">
        <v>104</v>
      </c>
      <c r="D130" s="67"/>
      <c r="E130" s="5">
        <v>500</v>
      </c>
      <c r="F130" s="8">
        <f>SUM(F121:F129)</f>
        <v>211273.71999999997</v>
      </c>
      <c r="G130" s="9">
        <f>SUM(G121:G129)</f>
        <v>526898.23917990294</v>
      </c>
      <c r="H130" s="8">
        <f>SUM(H121:H129)</f>
        <v>319267.76</v>
      </c>
      <c r="I130" s="9">
        <f>SUM(I121:I129)</f>
        <v>267500</v>
      </c>
      <c r="J130" s="6">
        <f t="shared" si="26"/>
        <v>530541.48</v>
      </c>
      <c r="K130" s="6">
        <f t="shared" si="27"/>
        <v>794398.23917990294</v>
      </c>
      <c r="L130" s="129">
        <f t="shared" si="32"/>
        <v>0.1615069796845196</v>
      </c>
      <c r="M130" s="129">
        <f t="shared" si="33"/>
        <v>0.66785329301296603</v>
      </c>
      <c r="N130" s="430"/>
    </row>
    <row r="131" spans="1:14" ht="15" customHeight="1">
      <c r="A131" s="378">
        <f t="shared" si="20"/>
        <v>121</v>
      </c>
      <c r="B131" s="51" t="s">
        <v>83</v>
      </c>
      <c r="C131" s="51"/>
      <c r="D131" s="51"/>
      <c r="E131" s="22"/>
      <c r="F131" s="26"/>
      <c r="G131" s="24"/>
      <c r="H131" s="25"/>
      <c r="I131" s="24"/>
      <c r="J131" s="23"/>
      <c r="K131" s="23"/>
      <c r="L131" s="179"/>
      <c r="M131" s="179"/>
      <c r="N131" s="438"/>
    </row>
    <row r="132" spans="1:14" ht="15" customHeight="1">
      <c r="A132" s="374">
        <f t="shared" si="20"/>
        <v>122</v>
      </c>
      <c r="B132" s="61"/>
      <c r="C132" s="68" t="s">
        <v>39</v>
      </c>
      <c r="D132" s="55"/>
      <c r="E132" s="15">
        <v>610</v>
      </c>
      <c r="F132" s="457">
        <f>SUMIF('FY24'!A:A, 'Annual Budget '!A132, 'FY24'!AJ:AJ)</f>
        <v>90710.900000000009</v>
      </c>
      <c r="G132" s="462">
        <f>SUMIF(FBT!B:B, 'Annual Budget '!A132, FBT!I:I)</f>
        <v>188750</v>
      </c>
      <c r="H132" s="463">
        <f>SUMIF('FY24'!A:A, 'Annual Budget '!A132, 'FY24'!AK:AK)</f>
        <v>0</v>
      </c>
      <c r="I132" s="462">
        <f>SUMIF(FBT!B:B, 'Annual Budget '!A132, FBT!J:J)</f>
        <v>0</v>
      </c>
      <c r="J132" s="14">
        <f t="shared" si="26"/>
        <v>90710.900000000009</v>
      </c>
      <c r="K132" s="14">
        <f t="shared" si="27"/>
        <v>188750</v>
      </c>
      <c r="L132" s="146">
        <f t="shared" ref="L132:L137" si="34">K132/$K$156</f>
        <v>3.8374257283001645E-2</v>
      </c>
      <c r="M132" s="146">
        <f t="shared" ref="M132:M137" si="35">IFERROR(J132/K132,"")</f>
        <v>0.48058754966887424</v>
      </c>
      <c r="N132" s="425"/>
    </row>
    <row r="133" spans="1:14" ht="15" customHeight="1">
      <c r="A133" s="374">
        <f t="shared" si="20"/>
        <v>123</v>
      </c>
      <c r="B133" s="62"/>
      <c r="C133" s="63" t="s">
        <v>71</v>
      </c>
      <c r="D133" s="40"/>
      <c r="E133" s="2" t="s">
        <v>18</v>
      </c>
      <c r="F133" s="457">
        <f>SUMIF('FY24'!A:A, 'Annual Budget '!A133, 'FY24'!AJ:AJ)</f>
        <v>314.97000000000116</v>
      </c>
      <c r="G133" s="462">
        <f>SUMIF(FBT!B:B, 'Annual Budget '!A133, FBT!I:I)</f>
        <v>112500</v>
      </c>
      <c r="H133" s="463">
        <f>SUMIF('FY24'!A:A, 'Annual Budget '!A133, 'FY24'!AK:AK)</f>
        <v>35885.449999999997</v>
      </c>
      <c r="I133" s="462">
        <f>SUMIF(FBT!B:B, 'Annual Budget '!A133, FBT!J:J)</f>
        <v>0</v>
      </c>
      <c r="J133" s="3">
        <f t="shared" si="26"/>
        <v>36200.42</v>
      </c>
      <c r="K133" s="3">
        <f t="shared" si="27"/>
        <v>112500</v>
      </c>
      <c r="L133" s="158">
        <f t="shared" si="34"/>
        <v>2.2872073877285747E-2</v>
      </c>
      <c r="M133" s="158">
        <f t="shared" si="35"/>
        <v>0.32178151111111108</v>
      </c>
      <c r="N133" s="426"/>
    </row>
    <row r="134" spans="1:14" ht="17.25" customHeight="1">
      <c r="A134" s="374">
        <f t="shared" si="20"/>
        <v>124</v>
      </c>
      <c r="B134" s="62"/>
      <c r="C134" s="63" t="s">
        <v>37</v>
      </c>
      <c r="D134" s="40"/>
      <c r="E134" s="2" t="s">
        <v>101</v>
      </c>
      <c r="F134" s="457">
        <f>SUMIF('FY24'!A:A, 'Annual Budget '!A134, 'FY24'!AJ:AJ)</f>
        <v>0</v>
      </c>
      <c r="G134" s="462">
        <f>SUMIF(FBT!B:B, 'Annual Budget '!A134, FBT!I:I)</f>
        <v>0</v>
      </c>
      <c r="H134" s="463">
        <f>SUMIF('FY24'!A:A, 'Annual Budget '!A134, 'FY24'!AK:AK)</f>
        <v>0</v>
      </c>
      <c r="I134" s="462">
        <f>SUMIF(FBT!B:B, 'Annual Budget '!A134, FBT!J:J)</f>
        <v>0</v>
      </c>
      <c r="J134" s="3">
        <f t="shared" si="26"/>
        <v>0</v>
      </c>
      <c r="K134" s="3">
        <f t="shared" si="27"/>
        <v>0</v>
      </c>
      <c r="L134" s="158">
        <f t="shared" si="34"/>
        <v>0</v>
      </c>
      <c r="M134" s="158" t="str">
        <f t="shared" si="35"/>
        <v/>
      </c>
      <c r="N134" s="426"/>
    </row>
    <row r="135" spans="1:14" ht="17.25" customHeight="1">
      <c r="A135" s="374">
        <f t="shared" si="20"/>
        <v>125</v>
      </c>
      <c r="B135" s="62"/>
      <c r="C135" s="40" t="s">
        <v>72</v>
      </c>
      <c r="D135" s="40"/>
      <c r="E135" s="2" t="s">
        <v>132</v>
      </c>
      <c r="F135" s="457">
        <f>SUMIF('FY24'!A:A, 'Annual Budget '!A135, 'FY24'!AJ:AJ)</f>
        <v>5433.2</v>
      </c>
      <c r="G135" s="462">
        <f>SUMIF(FBT!B:B, 'Annual Budget '!A135, FBT!I:I)</f>
        <v>37500</v>
      </c>
      <c r="H135" s="463">
        <f>SUMIF('FY24'!A:A, 'Annual Budget '!A135, 'FY24'!AK:AK)</f>
        <v>0</v>
      </c>
      <c r="I135" s="462">
        <f>SUMIF(FBT!B:B, 'Annual Budget '!A135, FBT!J:J)</f>
        <v>0</v>
      </c>
      <c r="J135" s="3">
        <f t="shared" si="26"/>
        <v>5433.2</v>
      </c>
      <c r="K135" s="3">
        <f t="shared" si="27"/>
        <v>37500</v>
      </c>
      <c r="L135" s="158">
        <f t="shared" si="34"/>
        <v>7.6240246257619163E-3</v>
      </c>
      <c r="M135" s="158">
        <f t="shared" si="35"/>
        <v>0.14488533333333334</v>
      </c>
      <c r="N135" s="426"/>
    </row>
    <row r="136" spans="1:14" ht="15" customHeight="1">
      <c r="A136" s="374">
        <f t="shared" si="20"/>
        <v>126</v>
      </c>
      <c r="B136" s="62"/>
      <c r="C136" s="56" t="s">
        <v>202</v>
      </c>
      <c r="D136" s="40"/>
      <c r="E136" s="2" t="s">
        <v>38</v>
      </c>
      <c r="F136" s="457">
        <f>SUMIF('FY24'!A:A, 'Annual Budget '!A136, 'FY24'!AJ:AJ)</f>
        <v>3012.1800000000003</v>
      </c>
      <c r="G136" s="462">
        <f>SUMIF(FBT!B:B, 'Annual Budget '!A136, FBT!I:I)</f>
        <v>57500</v>
      </c>
      <c r="H136" s="463">
        <f>SUMIF('FY24'!A:A, 'Annual Budget '!A136, 'FY24'!AK:AK)</f>
        <v>0</v>
      </c>
      <c r="I136" s="462">
        <f>SUMIF(FBT!B:B, 'Annual Budget '!A136, FBT!J:J)</f>
        <v>0</v>
      </c>
      <c r="J136" s="4">
        <f t="shared" si="26"/>
        <v>3012.1800000000003</v>
      </c>
      <c r="K136" s="4">
        <f t="shared" si="27"/>
        <v>57500</v>
      </c>
      <c r="L136" s="162">
        <f t="shared" si="34"/>
        <v>1.1690171092834939E-2</v>
      </c>
      <c r="M136" s="162">
        <f t="shared" si="35"/>
        <v>5.2385739130434789E-2</v>
      </c>
      <c r="N136" s="426"/>
    </row>
    <row r="137" spans="1:14" ht="15" customHeight="1">
      <c r="A137" s="375">
        <f t="shared" si="20"/>
        <v>127</v>
      </c>
      <c r="B137" s="58"/>
      <c r="C137" s="58" t="s">
        <v>84</v>
      </c>
      <c r="D137" s="67"/>
      <c r="E137" s="5">
        <v>600</v>
      </c>
      <c r="F137" s="8">
        <f>SUM(F132:F136)</f>
        <v>99471.25</v>
      </c>
      <c r="G137" s="9">
        <f>SUM(G132:G136)</f>
        <v>396250</v>
      </c>
      <c r="H137" s="8">
        <f>SUM(H132:H136)</f>
        <v>35885.449999999997</v>
      </c>
      <c r="I137" s="9">
        <f>SUM(I132:I136)</f>
        <v>0</v>
      </c>
      <c r="J137" s="6">
        <f t="shared" si="26"/>
        <v>135356.70000000001</v>
      </c>
      <c r="K137" s="6">
        <f t="shared" si="27"/>
        <v>396250</v>
      </c>
      <c r="L137" s="129">
        <f t="shared" si="34"/>
        <v>8.056052687888425E-2</v>
      </c>
      <c r="M137" s="129">
        <f t="shared" si="35"/>
        <v>0.34159419558359622</v>
      </c>
      <c r="N137" s="430"/>
    </row>
    <row r="138" spans="1:14" ht="15" customHeight="1">
      <c r="A138" s="378">
        <f t="shared" si="20"/>
        <v>128</v>
      </c>
      <c r="B138" s="51" t="s">
        <v>85</v>
      </c>
      <c r="C138" s="51"/>
      <c r="D138" s="51"/>
      <c r="E138" s="22"/>
      <c r="F138" s="26"/>
      <c r="G138" s="24"/>
      <c r="H138" s="25"/>
      <c r="I138" s="24"/>
      <c r="J138" s="23"/>
      <c r="K138" s="23"/>
      <c r="L138" s="179"/>
      <c r="M138" s="179"/>
      <c r="N138" s="438"/>
    </row>
    <row r="139" spans="1:14" ht="15" customHeight="1">
      <c r="A139" s="374">
        <f t="shared" si="20"/>
        <v>129</v>
      </c>
      <c r="B139" s="61"/>
      <c r="C139" s="54" t="s">
        <v>122</v>
      </c>
      <c r="D139" s="55"/>
      <c r="E139" s="15">
        <v>710</v>
      </c>
      <c r="F139" s="457">
        <f>SUMIF('FY24'!A:A, 'Annual Budget '!A139, 'FY24'!AJ:AJ)</f>
        <v>0</v>
      </c>
      <c r="G139" s="462">
        <f>SUMIF(FBT!B:B, 'Annual Budget '!A139, FBT!I:I)</f>
        <v>0</v>
      </c>
      <c r="H139" s="463">
        <f>SUMIF('FY24'!A:A, 'Annual Budget '!A139, 'FY24'!AK:AK)</f>
        <v>0</v>
      </c>
      <c r="I139" s="462">
        <f>SUMIF(FBT!B:B, 'Annual Budget '!A139, FBT!J:J)</f>
        <v>0</v>
      </c>
      <c r="J139" s="14">
        <f t="shared" si="26"/>
        <v>0</v>
      </c>
      <c r="K139" s="14">
        <f t="shared" si="27"/>
        <v>0</v>
      </c>
      <c r="L139" s="146">
        <f t="shared" ref="L139:L143" si="36">K139/$K$156</f>
        <v>0</v>
      </c>
      <c r="M139" s="146" t="str">
        <f t="shared" ref="M139:M143" si="37">IFERROR(J139/K139,"")</f>
        <v/>
      </c>
      <c r="N139" s="425"/>
    </row>
    <row r="140" spans="1:14" ht="17.25" customHeight="1">
      <c r="A140" s="374">
        <f t="shared" si="20"/>
        <v>130</v>
      </c>
      <c r="B140" s="62"/>
      <c r="C140" s="56" t="s">
        <v>73</v>
      </c>
      <c r="D140" s="40"/>
      <c r="E140" s="2">
        <v>720</v>
      </c>
      <c r="F140" s="457">
        <f>SUMIF('FY24'!A:A, 'Annual Budget '!A140, 'FY24'!AJ:AJ)</f>
        <v>0</v>
      </c>
      <c r="G140" s="462">
        <f>SUMIF(FBT!B:B, 'Annual Budget '!A140, FBT!I:I)</f>
        <v>0</v>
      </c>
      <c r="H140" s="463">
        <f>SUMIF('FY24'!A:A, 'Annual Budget '!A140, 'FY24'!AK:AK)</f>
        <v>0</v>
      </c>
      <c r="I140" s="462">
        <f>SUMIF(FBT!B:B, 'Annual Budget '!A140, FBT!J:J)</f>
        <v>0</v>
      </c>
      <c r="J140" s="3">
        <f t="shared" si="26"/>
        <v>0</v>
      </c>
      <c r="K140" s="3">
        <f t="shared" si="27"/>
        <v>0</v>
      </c>
      <c r="L140" s="158">
        <f t="shared" si="36"/>
        <v>0</v>
      </c>
      <c r="M140" s="158" t="str">
        <f t="shared" si="37"/>
        <v/>
      </c>
      <c r="N140" s="426"/>
    </row>
    <row r="141" spans="1:14" ht="17.25" customHeight="1">
      <c r="A141" s="374">
        <f t="shared" si="20"/>
        <v>131</v>
      </c>
      <c r="B141" s="62"/>
      <c r="C141" s="63" t="s">
        <v>19</v>
      </c>
      <c r="D141" s="40"/>
      <c r="E141" s="2" t="s">
        <v>123</v>
      </c>
      <c r="F141" s="457">
        <f>SUMIF('FY24'!A:A, 'Annual Budget '!A141, 'FY24'!AJ:AJ)</f>
        <v>0</v>
      </c>
      <c r="G141" s="462">
        <f>SUMIF(FBT!B:B, 'Annual Budget '!A141, FBT!I:I)</f>
        <v>0</v>
      </c>
      <c r="H141" s="463">
        <f>SUMIF('FY24'!A:A, 'Annual Budget '!A141, 'FY24'!AK:AK)</f>
        <v>0</v>
      </c>
      <c r="I141" s="462">
        <f>SUMIF(FBT!B:B, 'Annual Budget '!A141, FBT!J:J)</f>
        <v>0</v>
      </c>
      <c r="J141" s="3">
        <f t="shared" si="26"/>
        <v>0</v>
      </c>
      <c r="K141" s="3">
        <f t="shared" si="27"/>
        <v>0</v>
      </c>
      <c r="L141" s="158">
        <f t="shared" si="36"/>
        <v>0</v>
      </c>
      <c r="M141" s="158" t="str">
        <f t="shared" si="37"/>
        <v/>
      </c>
      <c r="N141" s="426"/>
    </row>
    <row r="142" spans="1:14" ht="14.25" customHeight="1">
      <c r="A142" s="374">
        <f t="shared" si="20"/>
        <v>132</v>
      </c>
      <c r="B142" s="40"/>
      <c r="C142" s="63" t="s">
        <v>208</v>
      </c>
      <c r="D142" s="40"/>
      <c r="E142" s="2" t="s">
        <v>124</v>
      </c>
      <c r="F142" s="457">
        <f>SUMIF('FY24'!A:A, 'Annual Budget '!A142, 'FY24'!AJ:AJ)</f>
        <v>0</v>
      </c>
      <c r="G142" s="462">
        <f>SUMIF(FBT!B:B, 'Annual Budget '!A142, FBT!I:I)</f>
        <v>0</v>
      </c>
      <c r="H142" s="463">
        <f>SUMIF('FY24'!A:A, 'Annual Budget '!A142, 'FY24'!AK:AK)</f>
        <v>0</v>
      </c>
      <c r="I142" s="462">
        <f>SUMIF(FBT!B:B, 'Annual Budget '!A142, FBT!J:J)</f>
        <v>0</v>
      </c>
      <c r="J142" s="4">
        <f t="shared" si="26"/>
        <v>0</v>
      </c>
      <c r="K142" s="4">
        <f t="shared" si="27"/>
        <v>0</v>
      </c>
      <c r="L142" s="162">
        <f t="shared" si="36"/>
        <v>0</v>
      </c>
      <c r="M142" s="162" t="str">
        <f t="shared" si="37"/>
        <v/>
      </c>
      <c r="N142" s="426"/>
    </row>
    <row r="143" spans="1:14" ht="15" customHeight="1">
      <c r="A143" s="375">
        <f t="shared" ref="A143:A156" si="38">A142+1</f>
        <v>133</v>
      </c>
      <c r="B143" s="58"/>
      <c r="C143" s="58" t="s">
        <v>86</v>
      </c>
      <c r="D143" s="67"/>
      <c r="E143" s="5">
        <v>700</v>
      </c>
      <c r="F143" s="8">
        <f>SUM(F139:F142)</f>
        <v>0</v>
      </c>
      <c r="G143" s="9">
        <f>SUM(G139:G142)</f>
        <v>0</v>
      </c>
      <c r="H143" s="8">
        <f>SUM(H139:H142)</f>
        <v>0</v>
      </c>
      <c r="I143" s="9">
        <f>SUM(I139:I142)</f>
        <v>0</v>
      </c>
      <c r="J143" s="6">
        <f t="shared" si="26"/>
        <v>0</v>
      </c>
      <c r="K143" s="6">
        <f t="shared" si="27"/>
        <v>0</v>
      </c>
      <c r="L143" s="129">
        <f t="shared" si="36"/>
        <v>0</v>
      </c>
      <c r="M143" s="129" t="str">
        <f t="shared" si="37"/>
        <v/>
      </c>
      <c r="N143" s="430"/>
    </row>
    <row r="144" spans="1:14" ht="15" customHeight="1">
      <c r="A144" s="378">
        <f t="shared" si="38"/>
        <v>134</v>
      </c>
      <c r="B144" s="51" t="s">
        <v>87</v>
      </c>
      <c r="C144" s="51"/>
      <c r="D144" s="51"/>
      <c r="E144" s="22"/>
      <c r="F144" s="26"/>
      <c r="G144" s="24"/>
      <c r="H144" s="25"/>
      <c r="I144" s="24"/>
      <c r="J144" s="23"/>
      <c r="K144" s="23"/>
      <c r="L144" s="179"/>
      <c r="M144" s="179"/>
      <c r="N144" s="438"/>
    </row>
    <row r="145" spans="1:14" ht="15" customHeight="1">
      <c r="A145" s="374">
        <f t="shared" si="38"/>
        <v>135</v>
      </c>
      <c r="B145" s="61"/>
      <c r="C145" s="68" t="s">
        <v>144</v>
      </c>
      <c r="D145" s="55"/>
      <c r="E145" s="15">
        <v>810</v>
      </c>
      <c r="F145" s="457">
        <f>SUMIF('FY24'!A:A, 'Annual Budget '!A145, 'FY24'!AJ:AJ)</f>
        <v>3503.09</v>
      </c>
      <c r="G145" s="462">
        <f>SUMIF(FBT!B:B, 'Annual Budget '!A145, FBT!I:I)</f>
        <v>71000</v>
      </c>
      <c r="H145" s="463">
        <f>SUMIF('FY24'!A:A, 'Annual Budget '!A145, 'FY24'!AK:AK)</f>
        <v>0</v>
      </c>
      <c r="I145" s="462">
        <f>SUMIF(FBT!B:B, 'Annual Budget '!A145, FBT!J:J)</f>
        <v>0</v>
      </c>
      <c r="J145" s="14">
        <f t="shared" si="26"/>
        <v>3503.09</v>
      </c>
      <c r="K145" s="14">
        <f t="shared" si="27"/>
        <v>71000</v>
      </c>
      <c r="L145" s="146">
        <f t="shared" ref="L145:L150" si="39">K145/$K$156</f>
        <v>1.4434819958109229E-2</v>
      </c>
      <c r="M145" s="146">
        <f t="shared" ref="M145:M150" si="40">IFERROR(J145/K145,"")</f>
        <v>4.9339295774647893E-2</v>
      </c>
      <c r="N145" s="425"/>
    </row>
    <row r="146" spans="1:14" ht="15" customHeight="1">
      <c r="A146" s="374">
        <f t="shared" si="38"/>
        <v>136</v>
      </c>
      <c r="B146" s="61"/>
      <c r="C146" s="68" t="s">
        <v>145</v>
      </c>
      <c r="D146" s="55"/>
      <c r="E146" s="15">
        <v>810</v>
      </c>
      <c r="F146" s="457">
        <f>SUMIF('FY24'!A:A, 'Annual Budget '!A146, 'FY24'!AJ:AJ)</f>
        <v>292.20999999999998</v>
      </c>
      <c r="G146" s="462">
        <f>SUMIF(FBT!B:B, 'Annual Budget '!A146, FBT!I:I)</f>
        <v>0</v>
      </c>
      <c r="H146" s="463">
        <f>SUMIF('FY24'!A:A, 'Annual Budget '!A146, 'FY24'!AK:AK)</f>
        <v>0</v>
      </c>
      <c r="I146" s="462">
        <f>SUMIF(FBT!B:B, 'Annual Budget '!A146, FBT!J:J)</f>
        <v>0</v>
      </c>
      <c r="J146" s="14">
        <f t="shared" si="26"/>
        <v>292.20999999999998</v>
      </c>
      <c r="K146" s="14">
        <f t="shared" si="27"/>
        <v>0</v>
      </c>
      <c r="L146" s="146">
        <f t="shared" si="39"/>
        <v>0</v>
      </c>
      <c r="M146" s="146" t="str">
        <f t="shared" si="40"/>
        <v/>
      </c>
      <c r="N146" s="425"/>
    </row>
    <row r="147" spans="1:14" ht="17.25" customHeight="1">
      <c r="A147" s="374">
        <f t="shared" si="38"/>
        <v>137</v>
      </c>
      <c r="B147" s="61"/>
      <c r="C147" s="54" t="s">
        <v>25</v>
      </c>
      <c r="D147" s="55"/>
      <c r="E147" s="15">
        <v>830</v>
      </c>
      <c r="F147" s="457">
        <f>SUMIF('FY24'!A:A, 'Annual Budget '!A147, 'FY24'!AJ:AJ)</f>
        <v>0</v>
      </c>
      <c r="G147" s="462">
        <f>SUMIF(FBT!B:B, 'Annual Budget '!A147, FBT!I:I)</f>
        <v>0</v>
      </c>
      <c r="H147" s="463">
        <f>SUMIF('FY24'!A:A, 'Annual Budget '!A147, 'FY24'!AK:AK)</f>
        <v>0</v>
      </c>
      <c r="I147" s="462">
        <f>SUMIF(FBT!B:B, 'Annual Budget '!A147, FBT!J:J)</f>
        <v>0</v>
      </c>
      <c r="J147" s="14">
        <f t="shared" si="26"/>
        <v>0</v>
      </c>
      <c r="K147" s="14">
        <f t="shared" si="27"/>
        <v>0</v>
      </c>
      <c r="L147" s="146">
        <f t="shared" si="39"/>
        <v>0</v>
      </c>
      <c r="M147" s="146" t="str">
        <f t="shared" si="40"/>
        <v/>
      </c>
      <c r="N147" s="425"/>
    </row>
    <row r="148" spans="1:14" ht="17.25" customHeight="1">
      <c r="A148" s="374">
        <f t="shared" si="38"/>
        <v>138</v>
      </c>
      <c r="B148" s="61"/>
      <c r="C148" s="54" t="s">
        <v>127</v>
      </c>
      <c r="D148" s="55"/>
      <c r="E148" s="15">
        <v>831</v>
      </c>
      <c r="F148" s="457">
        <f>SUMIF('FY24'!A:A, 'Annual Budget '!A148, 'FY24'!AJ:AJ)</f>
        <v>0</v>
      </c>
      <c r="G148" s="462">
        <f>SUMIF(FBT!B:B, 'Annual Budget '!A148, FBT!I:I)</f>
        <v>0</v>
      </c>
      <c r="H148" s="463">
        <f>SUMIF('FY24'!A:A, 'Annual Budget '!A148, 'FY24'!AK:AK)</f>
        <v>0</v>
      </c>
      <c r="I148" s="462">
        <f>SUMIF(FBT!B:B, 'Annual Budget '!A148, FBT!J:J)</f>
        <v>0</v>
      </c>
      <c r="J148" s="14">
        <f t="shared" si="26"/>
        <v>0</v>
      </c>
      <c r="K148" s="14">
        <f t="shared" si="27"/>
        <v>0</v>
      </c>
      <c r="L148" s="146">
        <f t="shared" si="39"/>
        <v>0</v>
      </c>
      <c r="M148" s="146" t="str">
        <f t="shared" si="40"/>
        <v/>
      </c>
      <c r="N148" s="425"/>
    </row>
    <row r="149" spans="1:14" ht="15" customHeight="1">
      <c r="A149" s="374">
        <f t="shared" si="38"/>
        <v>139</v>
      </c>
      <c r="B149" s="62"/>
      <c r="C149" s="56" t="s">
        <v>204</v>
      </c>
      <c r="D149" s="40"/>
      <c r="E149" s="2" t="s">
        <v>125</v>
      </c>
      <c r="F149" s="457">
        <f>SUMIF('FY24'!A:A, 'Annual Budget '!A149, 'FY24'!AJ:AJ)</f>
        <v>0</v>
      </c>
      <c r="G149" s="462">
        <f>SUMIF(FBT!B:B, 'Annual Budget '!A149, FBT!I:I)</f>
        <v>0</v>
      </c>
      <c r="H149" s="463">
        <f>SUMIF('FY24'!A:A, 'Annual Budget '!A149, 'FY24'!AK:AK)</f>
        <v>0</v>
      </c>
      <c r="I149" s="462">
        <f>SUMIF(FBT!B:B, 'Annual Budget '!A149, FBT!J:J)</f>
        <v>0</v>
      </c>
      <c r="J149" s="4">
        <f t="shared" si="26"/>
        <v>0</v>
      </c>
      <c r="K149" s="4">
        <f t="shared" si="27"/>
        <v>0</v>
      </c>
      <c r="L149" s="162">
        <f t="shared" si="39"/>
        <v>0</v>
      </c>
      <c r="M149" s="162" t="str">
        <f t="shared" si="40"/>
        <v/>
      </c>
      <c r="N149" s="426"/>
    </row>
    <row r="150" spans="1:14" ht="15" customHeight="1">
      <c r="A150" s="380">
        <f t="shared" si="38"/>
        <v>140</v>
      </c>
      <c r="B150" s="58"/>
      <c r="C150" s="58" t="s">
        <v>88</v>
      </c>
      <c r="D150" s="67"/>
      <c r="E150" s="5">
        <v>800</v>
      </c>
      <c r="F150" s="8">
        <f>SUM(F145:F149)</f>
        <v>3795.3</v>
      </c>
      <c r="G150" s="9">
        <f>SUM(G145:G149)</f>
        <v>71000</v>
      </c>
      <c r="H150" s="8">
        <f>SUM(H145:H149)</f>
        <v>0</v>
      </c>
      <c r="I150" s="9">
        <f>SUM(I145:I149)</f>
        <v>0</v>
      </c>
      <c r="J150" s="6">
        <f t="shared" si="26"/>
        <v>3795.3</v>
      </c>
      <c r="K150" s="6">
        <f t="shared" si="27"/>
        <v>71000</v>
      </c>
      <c r="L150" s="129">
        <f t="shared" si="39"/>
        <v>1.4434819958109229E-2</v>
      </c>
      <c r="M150" s="129">
        <f t="shared" si="40"/>
        <v>5.345492957746479E-2</v>
      </c>
      <c r="N150" s="430"/>
    </row>
    <row r="151" spans="1:14" ht="15" customHeight="1">
      <c r="A151" s="381">
        <f t="shared" si="38"/>
        <v>141</v>
      </c>
      <c r="B151" s="51" t="s">
        <v>90</v>
      </c>
      <c r="C151" s="51"/>
      <c r="D151" s="51"/>
      <c r="E151" s="22"/>
      <c r="F151" s="26"/>
      <c r="G151" s="24"/>
      <c r="H151" s="25"/>
      <c r="I151" s="24"/>
      <c r="J151" s="23"/>
      <c r="K151" s="23"/>
      <c r="L151" s="179"/>
      <c r="M151" s="179"/>
      <c r="N151" s="438"/>
    </row>
    <row r="152" spans="1:14" ht="17.25" customHeight="1">
      <c r="A152" s="374">
        <f t="shared" si="38"/>
        <v>142</v>
      </c>
      <c r="B152" s="62"/>
      <c r="C152" s="40" t="s">
        <v>20</v>
      </c>
      <c r="D152" s="40"/>
      <c r="E152" s="2">
        <v>933</v>
      </c>
      <c r="F152" s="457">
        <f>SUMIF('FY24'!A:A, 'Annual Budget '!A152, 'FY24'!AJ:AJ)</f>
        <v>-201494.82</v>
      </c>
      <c r="G152" s="462">
        <f>SUMIF(FBT!B:B, 'Annual Budget '!A152, FBT!I:I)</f>
        <v>0</v>
      </c>
      <c r="H152" s="463">
        <f>SUMIF('FY24'!A:A, 'Annual Budget '!A152, 'FY24'!AK:AK)-0.49</f>
        <v>201494.33000000002</v>
      </c>
      <c r="I152" s="462">
        <f>SUMIF(FBT!B:B, 'Annual Budget '!A152, FBT!J:J)</f>
        <v>0</v>
      </c>
      <c r="J152" s="3">
        <f t="shared" si="26"/>
        <v>-0.48999999999068677</v>
      </c>
      <c r="K152" s="3">
        <f t="shared" si="27"/>
        <v>0</v>
      </c>
      <c r="L152" s="158">
        <f t="shared" ref="L152:L156" si="41">K152/$K$156</f>
        <v>0</v>
      </c>
      <c r="M152" s="158" t="str">
        <f t="shared" ref="M152:M156" si="42">IFERROR(J152/K152,"")</f>
        <v/>
      </c>
      <c r="N152" s="426"/>
    </row>
    <row r="153" spans="1:14" ht="17.25" customHeight="1">
      <c r="A153" s="374">
        <f t="shared" si="38"/>
        <v>143</v>
      </c>
      <c r="B153" s="62"/>
      <c r="C153" s="40" t="s">
        <v>209</v>
      </c>
      <c r="D153" s="40"/>
      <c r="E153" s="2" t="s">
        <v>126</v>
      </c>
      <c r="F153" s="457">
        <f>SUMIF('FY24'!A:A, 'Annual Budget '!A153, 'FY24'!AJ:AJ)</f>
        <v>0</v>
      </c>
      <c r="G153" s="462">
        <f>SUMIF(FBT!B:B, 'Annual Budget '!A153, FBT!I:I)</f>
        <v>0</v>
      </c>
      <c r="H153" s="463">
        <f>SUMIF('FY24'!A:A, 'Annual Budget '!A153, 'FY24'!AK:AK)</f>
        <v>0</v>
      </c>
      <c r="I153" s="462">
        <f>SUMIF(FBT!B:B, 'Annual Budget '!A153, FBT!J:J)</f>
        <v>0</v>
      </c>
      <c r="J153" s="3">
        <f t="shared" si="26"/>
        <v>0</v>
      </c>
      <c r="K153" s="3">
        <f t="shared" si="27"/>
        <v>0</v>
      </c>
      <c r="L153" s="158">
        <f t="shared" si="41"/>
        <v>0</v>
      </c>
      <c r="M153" s="158" t="str">
        <f t="shared" si="42"/>
        <v/>
      </c>
      <c r="N153" s="426"/>
    </row>
    <row r="154" spans="1:14" ht="15" customHeight="1">
      <c r="A154" s="374">
        <f t="shared" si="38"/>
        <v>144</v>
      </c>
      <c r="B154" s="446"/>
      <c r="C154" s="447"/>
      <c r="D154" s="446" t="s">
        <v>738</v>
      </c>
      <c r="E154" s="448"/>
      <c r="F154" s="457">
        <f>SUMIF('FY24'!A:A, 'Annual Budget '!A154, 'FY24'!AJ:AJ)</f>
        <v>0</v>
      </c>
      <c r="G154" s="462">
        <v>-185000</v>
      </c>
      <c r="H154" s="463">
        <f>SUMIF('FY24'!A:A, 'Annual Budget '!A154, 'FY24'!AK:AK)</f>
        <v>0</v>
      </c>
      <c r="I154" s="462">
        <f>SUMIF(FBT!B:B, 'Annual Budget '!A154, FBT!J:J)</f>
        <v>0</v>
      </c>
      <c r="J154" s="4">
        <f t="shared" si="26"/>
        <v>0</v>
      </c>
      <c r="K154" s="4">
        <f t="shared" si="27"/>
        <v>-185000</v>
      </c>
      <c r="L154" s="162">
        <f t="shared" si="41"/>
        <v>-3.761185482042545E-2</v>
      </c>
      <c r="M154" s="162">
        <f t="shared" si="42"/>
        <v>0</v>
      </c>
      <c r="N154" s="426"/>
    </row>
    <row r="155" spans="1:14" ht="21" customHeight="1">
      <c r="A155" s="382">
        <f t="shared" si="38"/>
        <v>145</v>
      </c>
      <c r="B155" s="58"/>
      <c r="C155" s="58" t="s">
        <v>89</v>
      </c>
      <c r="D155" s="58"/>
      <c r="E155" s="5">
        <v>900</v>
      </c>
      <c r="F155" s="8">
        <f>SUM(F152:F154)</f>
        <v>-201494.82</v>
      </c>
      <c r="G155" s="9">
        <f>SUM(G152:G154)</f>
        <v>-185000</v>
      </c>
      <c r="H155" s="8">
        <f>SUM(H152:H154)</f>
        <v>201494.33000000002</v>
      </c>
      <c r="I155" s="9">
        <f>SUM(I152:I154)</f>
        <v>0</v>
      </c>
      <c r="J155" s="6">
        <f t="shared" si="26"/>
        <v>-0.48999999999068677</v>
      </c>
      <c r="K155" s="6">
        <f t="shared" si="27"/>
        <v>-185000</v>
      </c>
      <c r="L155" s="129">
        <f t="shared" si="41"/>
        <v>-3.761185482042545E-2</v>
      </c>
      <c r="M155" s="129">
        <f t="shared" si="42"/>
        <v>2.648648648598307E-6</v>
      </c>
      <c r="N155" s="444"/>
    </row>
    <row r="156" spans="1:14" ht="18.75" customHeight="1" thickBot="1">
      <c r="A156" s="382">
        <f t="shared" si="38"/>
        <v>146</v>
      </c>
      <c r="B156" s="130"/>
      <c r="C156" s="130"/>
      <c r="D156" s="131" t="s">
        <v>21</v>
      </c>
      <c r="E156" s="37" t="s">
        <v>22</v>
      </c>
      <c r="F156" s="366">
        <f>F97+F106+F112+F119+F130+F137+F143+F150+F155</f>
        <v>1804202.2</v>
      </c>
      <c r="G156" s="16">
        <f>G97+G106+G112+G119+G130+G137+G143+G150+G155</f>
        <v>3297031.9719571527</v>
      </c>
      <c r="H156" s="366">
        <f t="shared" ref="H156:I156" si="43">H97+H106+H112+H119+H130+H137+H143+H150+H155</f>
        <v>2009565.33</v>
      </c>
      <c r="I156" s="16">
        <f t="shared" si="43"/>
        <v>1621630</v>
      </c>
      <c r="J156" s="367">
        <f t="shared" si="26"/>
        <v>3813767.5300000003</v>
      </c>
      <c r="K156" s="367">
        <f t="shared" si="27"/>
        <v>4918661.9719571527</v>
      </c>
      <c r="L156" s="368">
        <f t="shared" si="41"/>
        <v>1</v>
      </c>
      <c r="M156" s="368">
        <f t="shared" si="42"/>
        <v>0.77536686841736535</v>
      </c>
      <c r="N156" s="441"/>
    </row>
    <row r="157" spans="1:14" ht="18.75" customHeight="1" thickTop="1" thickBot="1">
      <c r="A157" s="70"/>
      <c r="B157" s="71"/>
      <c r="C157" s="71"/>
      <c r="D157" s="71"/>
      <c r="E157" s="72"/>
      <c r="F157" s="73"/>
      <c r="G157" s="1"/>
      <c r="H157" s="1"/>
      <c r="I157" s="1"/>
      <c r="J157" s="69"/>
      <c r="K157" s="69"/>
      <c r="L157" s="69"/>
      <c r="M157" s="69"/>
      <c r="N157" s="69"/>
    </row>
    <row r="158" spans="1:14" ht="18.75" customHeight="1" thickBot="1">
      <c r="A158" s="70"/>
      <c r="B158" s="69"/>
      <c r="C158" s="72"/>
      <c r="D158" s="74"/>
      <c r="E158" s="75" t="s">
        <v>105</v>
      </c>
      <c r="F158" s="104">
        <f>F85-F156</f>
        <v>326366.13000000012</v>
      </c>
      <c r="G158" s="76">
        <f>G85-G156</f>
        <v>1752.2607350004837</v>
      </c>
      <c r="H158" s="76">
        <f>H85-H156</f>
        <v>14500.489999999991</v>
      </c>
      <c r="I158" s="105">
        <f>I85-I156</f>
        <v>0.27514648460783064</v>
      </c>
      <c r="J158" s="106">
        <f t="shared" ref="J158:J160" si="44">F158+H158</f>
        <v>340866.62000000011</v>
      </c>
      <c r="K158" s="107">
        <f>G158+I158</f>
        <v>1752.5358814850915</v>
      </c>
      <c r="L158" s="69"/>
      <c r="M158" s="69"/>
      <c r="N158" s="77" t="s">
        <v>158</v>
      </c>
    </row>
    <row r="159" spans="1:14" ht="18.75" customHeight="1" thickTop="1" thickBot="1">
      <c r="A159" s="70"/>
      <c r="B159" s="69"/>
      <c r="C159" s="72"/>
      <c r="D159" s="74"/>
      <c r="E159" s="75" t="s">
        <v>106</v>
      </c>
      <c r="F159" s="483">
        <v>1778070</v>
      </c>
      <c r="G159" s="35">
        <f>F160</f>
        <v>2104436.13</v>
      </c>
      <c r="H159" s="445">
        <v>34378</v>
      </c>
      <c r="I159" s="36">
        <v>0</v>
      </c>
      <c r="J159" s="78">
        <f>F159+H159</f>
        <v>1812448</v>
      </c>
      <c r="K159" s="108">
        <f>J160</f>
        <v>2153314.62</v>
      </c>
      <c r="L159" s="69"/>
      <c r="M159" s="69"/>
      <c r="N159" s="79">
        <f>G160/G85</f>
        <v>0.63847412930555025</v>
      </c>
    </row>
    <row r="160" spans="1:14" ht="15" customHeight="1" thickTop="1">
      <c r="A160" s="70"/>
      <c r="B160" s="69"/>
      <c r="C160" s="72"/>
      <c r="D160" s="74"/>
      <c r="E160" s="75" t="s">
        <v>107</v>
      </c>
      <c r="F160" s="109">
        <f>SUM(F158:F159)</f>
        <v>2104436.13</v>
      </c>
      <c r="G160" s="80">
        <f>SUM(G158:G159)</f>
        <v>2106188.3907350004</v>
      </c>
      <c r="H160" s="80">
        <f>SUM(H158:H159)</f>
        <v>48878.489999999991</v>
      </c>
      <c r="I160" s="110">
        <f>SUM(I158:I159)</f>
        <v>0.27514648460783064</v>
      </c>
      <c r="J160" s="111">
        <f t="shared" si="44"/>
        <v>2153314.62</v>
      </c>
      <c r="K160" s="112">
        <f>G160+I160</f>
        <v>2106188.6658814847</v>
      </c>
      <c r="L160" s="69"/>
      <c r="M160" s="69"/>
      <c r="N160" s="69"/>
    </row>
    <row r="161" spans="1:14" ht="15" customHeight="1">
      <c r="A161" s="70"/>
      <c r="B161" s="69"/>
      <c r="C161" s="72"/>
      <c r="D161" s="74"/>
      <c r="E161" s="81"/>
      <c r="F161" s="82"/>
      <c r="G161" s="82"/>
      <c r="H161" s="113"/>
      <c r="I161" s="82"/>
      <c r="J161" s="69"/>
      <c r="K161" s="69"/>
      <c r="L161" s="69"/>
      <c r="M161" s="69"/>
      <c r="N161" s="69"/>
    </row>
    <row r="162" spans="1:14" ht="15" customHeight="1"/>
    <row r="163" spans="1:14" ht="15" customHeight="1"/>
    <row r="164" spans="1:14" ht="15" customHeight="1"/>
    <row r="165" spans="1:14" ht="15" customHeight="1"/>
    <row r="166" spans="1:14" ht="15" customHeight="1"/>
    <row r="167" spans="1:14" ht="15" customHeight="1"/>
    <row r="168" spans="1:14" ht="15" customHeight="1"/>
    <row r="169" spans="1:14" ht="15" customHeight="1"/>
    <row r="170" spans="1:14" ht="15" customHeight="1"/>
    <row r="171" spans="1:14" ht="15" customHeight="1"/>
    <row r="172" spans="1:14" ht="15" customHeight="1"/>
    <row r="173" spans="1:14" ht="15" customHeight="1"/>
    <row r="174" spans="1:14" ht="15" customHeight="1"/>
    <row r="175" spans="1:14" ht="15" customHeight="1"/>
    <row r="176" spans="1:14"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sheetData>
  <mergeCells count="20">
    <mergeCell ref="B86:D86"/>
    <mergeCell ref="G8:G10"/>
    <mergeCell ref="E8:E10"/>
    <mergeCell ref="B6:D10"/>
    <mergeCell ref="F8:F10"/>
    <mergeCell ref="B11:D11"/>
    <mergeCell ref="F6:G7"/>
    <mergeCell ref="E6:E7"/>
    <mergeCell ref="A1:N1"/>
    <mergeCell ref="H5:I5"/>
    <mergeCell ref="A5:C5"/>
    <mergeCell ref="J6:K7"/>
    <mergeCell ref="N8:N10"/>
    <mergeCell ref="H6:I7"/>
    <mergeCell ref="M8:M10"/>
    <mergeCell ref="L8:L10"/>
    <mergeCell ref="H8:H10"/>
    <mergeCell ref="I8:I10"/>
    <mergeCell ref="J8:J10"/>
    <mergeCell ref="K8:K10"/>
  </mergeCells>
  <phoneticPr fontId="0" type="noConversion"/>
  <printOptions horizontalCentered="1"/>
  <pageMargins left="0" right="0" top="0.5" bottom="0.25" header="0.25" footer="0.15"/>
  <pageSetup paperSize="5" scale="61" orientation="landscape" r:id="rId1"/>
  <headerFooter alignWithMargins="0">
    <oddFooter>&amp;C&amp;"Arial,Regular"&amp;10School System Financial Services&amp;R&amp;"Arial,Regular"&amp;10&amp;P of &amp;N</oddFooter>
  </headerFooter>
  <rowBreaks count="3" manualBreakCount="3">
    <brk id="40" max="13" man="1"/>
    <brk id="85" max="13" man="1"/>
    <brk id="119"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A31"/>
  <sheetViews>
    <sheetView workbookViewId="0">
      <selection activeCell="A15" sqref="A15"/>
    </sheetView>
  </sheetViews>
  <sheetFormatPr defaultColWidth="8.84375" defaultRowHeight="15.5"/>
  <cols>
    <col min="1" max="1" width="81.765625" customWidth="1"/>
  </cols>
  <sheetData>
    <row r="1" spans="1:1">
      <c r="A1" s="115" t="s">
        <v>177</v>
      </c>
    </row>
    <row r="3" spans="1:1">
      <c r="A3" s="115" t="s">
        <v>175</v>
      </c>
    </row>
    <row r="5" spans="1:1">
      <c r="A5" s="116" t="s">
        <v>178</v>
      </c>
    </row>
    <row r="6" spans="1:1">
      <c r="A6" s="116"/>
    </row>
    <row r="7" spans="1:1">
      <c r="A7" s="116" t="s">
        <v>179</v>
      </c>
    </row>
    <row r="8" spans="1:1">
      <c r="A8" s="116"/>
    </row>
    <row r="9" spans="1:1">
      <c r="A9" s="118" t="s">
        <v>180</v>
      </c>
    </row>
    <row r="10" spans="1:1">
      <c r="A10" s="116"/>
    </row>
    <row r="11" spans="1:1">
      <c r="A11" s="122" t="s">
        <v>213</v>
      </c>
    </row>
    <row r="12" spans="1:1">
      <c r="A12" s="123"/>
    </row>
    <row r="13" spans="1:1">
      <c r="A13" s="124" t="s">
        <v>214</v>
      </c>
    </row>
    <row r="14" spans="1:1">
      <c r="A14" s="123"/>
    </row>
    <row r="15" spans="1:1" ht="29">
      <c r="A15" s="125" t="s">
        <v>232</v>
      </c>
    </row>
    <row r="16" spans="1:1">
      <c r="A16" s="123"/>
    </row>
    <row r="17" spans="1:1" ht="29">
      <c r="A17" s="126" t="s">
        <v>187</v>
      </c>
    </row>
    <row r="18" spans="1:1">
      <c r="A18" s="123"/>
    </row>
    <row r="19" spans="1:1">
      <c r="A19" s="124" t="s">
        <v>188</v>
      </c>
    </row>
    <row r="20" spans="1:1">
      <c r="A20" s="123"/>
    </row>
    <row r="21" spans="1:1">
      <c r="A21" s="116" t="s">
        <v>172</v>
      </c>
    </row>
    <row r="22" spans="1:1">
      <c r="A22" s="127"/>
    </row>
    <row r="23" spans="1:1">
      <c r="A23" s="127"/>
    </row>
    <row r="24" spans="1:1" ht="116">
      <c r="A24" s="120" t="s">
        <v>186</v>
      </c>
    </row>
    <row r="25" spans="1:1">
      <c r="A25" s="127"/>
    </row>
    <row r="26" spans="1:1">
      <c r="A26" s="121"/>
    </row>
    <row r="27" spans="1:1">
      <c r="A27" s="127"/>
    </row>
    <row r="28" spans="1:1">
      <c r="A28" s="127"/>
    </row>
    <row r="29" spans="1:1">
      <c r="A29" s="127"/>
    </row>
    <row r="30" spans="1:1">
      <c r="A30" s="127"/>
    </row>
    <row r="31" spans="1:1">
      <c r="A31" s="127"/>
    </row>
  </sheetData>
  <pageMargins left="0.7" right="0.7" top="0.75" bottom="0.75" header="0.3" footer="0.3"/>
  <pageSetup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codeName="Sheet7"/>
  <dimension ref="A1:T161"/>
  <sheetViews>
    <sheetView defaultGridColor="0" colorId="22" zoomScale="90" zoomScaleNormal="90" zoomScaleSheetLayoutView="80" workbookViewId="0">
      <pane xSplit="4" ySplit="10" topLeftCell="E11" activePane="bottomRight" state="frozen"/>
      <selection activeCell="E11" sqref="E11"/>
      <selection pane="topRight" activeCell="E11" sqref="E11"/>
      <selection pane="bottomLeft" activeCell="E11" sqref="E11"/>
      <selection pane="bottomRight" activeCell="P4" sqref="P4"/>
    </sheetView>
  </sheetViews>
  <sheetFormatPr defaultColWidth="11.4609375" defaultRowHeight="15.5"/>
  <cols>
    <col min="1" max="1" width="3.23046875" style="133" customWidth="1"/>
    <col min="2" max="2" width="2" style="133" customWidth="1"/>
    <col min="3" max="3" width="2.53515625" style="133" customWidth="1"/>
    <col min="4" max="4" width="43.23046875" style="133" customWidth="1"/>
    <col min="5" max="5" width="11.4609375" style="133" customWidth="1"/>
    <col min="6" max="8" width="12.23046875" style="133" customWidth="1"/>
    <col min="9" max="9" width="12.84375" style="133" customWidth="1"/>
    <col min="10" max="12" width="12.23046875" style="133" customWidth="1"/>
    <col min="13" max="13" width="12.84375" style="133" customWidth="1"/>
    <col min="14" max="16" width="12.23046875" style="133" customWidth="1"/>
    <col min="17" max="17" width="12.84375" style="133" customWidth="1"/>
    <col min="18" max="18" width="8.765625" style="133" customWidth="1"/>
    <col min="19" max="19" width="9.4609375" style="133" customWidth="1"/>
    <col min="20" max="20" width="54.765625" style="133" customWidth="1"/>
    <col min="21" max="16384" width="11.4609375" style="133"/>
  </cols>
  <sheetData>
    <row r="1" spans="1:20" ht="36.75" customHeight="1">
      <c r="A1" s="346"/>
      <c r="B1" s="346"/>
      <c r="C1" s="346"/>
      <c r="D1" s="346"/>
      <c r="E1" s="346"/>
      <c r="F1" s="346"/>
      <c r="G1" s="346"/>
      <c r="H1" s="346"/>
      <c r="I1" s="346"/>
      <c r="J1" s="909" t="s">
        <v>235</v>
      </c>
      <c r="K1" s="909"/>
      <c r="L1" s="909"/>
      <c r="M1" s="909"/>
      <c r="N1" s="346"/>
      <c r="O1" s="346"/>
      <c r="P1" s="346"/>
      <c r="Q1" s="346"/>
      <c r="R1" s="910" t="s">
        <v>129</v>
      </c>
      <c r="S1" s="910"/>
    </row>
    <row r="2" spans="1:20" ht="18" customHeight="1" thickBot="1">
      <c r="A2" s="134"/>
      <c r="B2" s="135"/>
      <c r="C2" s="135"/>
      <c r="D2" s="135"/>
      <c r="E2" s="135"/>
      <c r="F2" s="135"/>
      <c r="G2" s="135"/>
      <c r="H2" s="135"/>
      <c r="I2" s="83"/>
      <c r="J2" s="136" t="s">
        <v>162</v>
      </c>
      <c r="K2" s="137">
        <v>1</v>
      </c>
      <c r="L2" s="136" t="s">
        <v>163</v>
      </c>
      <c r="M2" s="138">
        <v>45199</v>
      </c>
      <c r="N2" s="83"/>
      <c r="O2" s="135"/>
      <c r="P2" s="135"/>
      <c r="Q2" s="135"/>
      <c r="R2" s="347" t="s">
        <v>168</v>
      </c>
      <c r="S2" s="348">
        <f>'Annual Budget '!N4</f>
        <v>250</v>
      </c>
    </row>
    <row r="3" spans="1:20" ht="18" customHeight="1" thickBot="1">
      <c r="A3" s="134"/>
      <c r="B3" s="135"/>
      <c r="C3" s="135"/>
      <c r="D3" s="135"/>
      <c r="E3" s="135"/>
      <c r="F3" s="135"/>
      <c r="G3" s="135"/>
      <c r="H3" s="135"/>
      <c r="I3" s="83"/>
      <c r="J3" s="135"/>
      <c r="K3" s="350"/>
      <c r="L3" s="135"/>
      <c r="M3" s="350"/>
      <c r="N3" s="83"/>
      <c r="O3" s="135"/>
      <c r="P3" s="135"/>
      <c r="Q3" s="135"/>
      <c r="R3" s="81" t="s">
        <v>165</v>
      </c>
      <c r="S3" s="404"/>
    </row>
    <row r="4" spans="1:20" ht="18" customHeight="1" thickTop="1">
      <c r="A4" s="924" t="s">
        <v>0</v>
      </c>
      <c r="B4" s="839"/>
      <c r="C4" s="839"/>
      <c r="D4" s="925" t="str">
        <f>'Annual Budget '!D5</f>
        <v>Redesign Dalton</v>
      </c>
      <c r="E4" s="83"/>
      <c r="F4" s="83"/>
      <c r="G4" s="83"/>
      <c r="H4" s="83"/>
      <c r="I4" s="83"/>
      <c r="J4" s="181"/>
      <c r="K4" s="114"/>
      <c r="L4" s="114"/>
      <c r="M4" s="114"/>
      <c r="N4" s="49"/>
      <c r="O4" s="49"/>
      <c r="P4" s="49"/>
      <c r="Q4" s="83"/>
      <c r="R4" s="81" t="s">
        <v>166</v>
      </c>
      <c r="S4" s="349"/>
    </row>
    <row r="5" spans="1:20" ht="18" customHeight="1" thickBot="1">
      <c r="A5" s="839"/>
      <c r="B5" s="839"/>
      <c r="C5" s="839"/>
      <c r="D5" s="926"/>
      <c r="E5" s="83"/>
      <c r="F5" s="83"/>
      <c r="G5" s="83"/>
      <c r="H5" s="83"/>
      <c r="I5" s="83"/>
      <c r="J5" s="181"/>
      <c r="K5" s="114"/>
      <c r="L5" s="114"/>
      <c r="M5" s="114"/>
      <c r="N5" s="49"/>
      <c r="O5" s="49"/>
      <c r="P5" s="49"/>
      <c r="Q5" s="83"/>
      <c r="R5" s="347" t="s">
        <v>167</v>
      </c>
      <c r="S5" s="349"/>
    </row>
    <row r="6" spans="1:20" ht="36.75" customHeight="1" thickTop="1" thickBot="1">
      <c r="A6" s="182"/>
      <c r="B6" s="891" t="s">
        <v>1</v>
      </c>
      <c r="C6" s="891"/>
      <c r="D6" s="892"/>
      <c r="E6" s="896" t="s">
        <v>2</v>
      </c>
      <c r="F6" s="915" t="s">
        <v>26</v>
      </c>
      <c r="G6" s="915"/>
      <c r="H6" s="915"/>
      <c r="I6" s="915"/>
      <c r="J6" s="900" t="s">
        <v>194</v>
      </c>
      <c r="K6" s="901"/>
      <c r="L6" s="901"/>
      <c r="M6" s="901"/>
      <c r="N6" s="903" t="s">
        <v>159</v>
      </c>
      <c r="O6" s="903"/>
      <c r="P6" s="903"/>
      <c r="Q6" s="904"/>
      <c r="R6" s="83"/>
    </row>
    <row r="7" spans="1:20" ht="16.5" thickTop="1" thickBot="1">
      <c r="A7" s="183"/>
      <c r="B7" s="868"/>
      <c r="C7" s="868"/>
      <c r="D7" s="893"/>
      <c r="E7" s="896"/>
      <c r="F7" s="916"/>
      <c r="G7" s="916"/>
      <c r="H7" s="916"/>
      <c r="I7" s="916"/>
      <c r="J7" s="902"/>
      <c r="K7" s="902"/>
      <c r="L7" s="902"/>
      <c r="M7" s="902"/>
      <c r="N7" s="905"/>
      <c r="O7" s="905"/>
      <c r="P7" s="905"/>
      <c r="Q7" s="906"/>
      <c r="R7" s="83"/>
      <c r="S7" s="83"/>
      <c r="T7" s="83"/>
    </row>
    <row r="8" spans="1:20" ht="16.5" customHeight="1" thickTop="1" thickBot="1">
      <c r="A8" s="183"/>
      <c r="B8" s="868"/>
      <c r="C8" s="868"/>
      <c r="D8" s="893"/>
      <c r="E8" s="897" t="s">
        <v>93</v>
      </c>
      <c r="F8" s="885" t="s">
        <v>234</v>
      </c>
      <c r="G8" s="887" t="s">
        <v>212</v>
      </c>
      <c r="H8" s="889" t="s">
        <v>169</v>
      </c>
      <c r="I8" s="913" t="s">
        <v>193</v>
      </c>
      <c r="J8" s="885" t="s">
        <v>234</v>
      </c>
      <c r="K8" s="887" t="s">
        <v>212</v>
      </c>
      <c r="L8" s="889" t="s">
        <v>169</v>
      </c>
      <c r="M8" s="913" t="s">
        <v>193</v>
      </c>
      <c r="N8" s="885" t="s">
        <v>234</v>
      </c>
      <c r="O8" s="887" t="s">
        <v>212</v>
      </c>
      <c r="P8" s="907" t="s">
        <v>169</v>
      </c>
      <c r="Q8" s="917" t="s">
        <v>193</v>
      </c>
      <c r="R8" s="919" t="s">
        <v>70</v>
      </c>
      <c r="S8" s="922" t="s">
        <v>195</v>
      </c>
      <c r="T8" s="880" t="s">
        <v>103</v>
      </c>
    </row>
    <row r="9" spans="1:20" ht="15" customHeight="1" thickTop="1" thickBot="1">
      <c r="A9" s="183"/>
      <c r="B9" s="868"/>
      <c r="C9" s="868"/>
      <c r="D9" s="893"/>
      <c r="E9" s="898"/>
      <c r="F9" s="886"/>
      <c r="G9" s="888" t="s">
        <v>160</v>
      </c>
      <c r="H9" s="890" t="s">
        <v>161</v>
      </c>
      <c r="I9" s="914"/>
      <c r="J9" s="886"/>
      <c r="K9" s="888" t="s">
        <v>160</v>
      </c>
      <c r="L9" s="890" t="s">
        <v>161</v>
      </c>
      <c r="M9" s="914"/>
      <c r="N9" s="886"/>
      <c r="O9" s="888" t="s">
        <v>160</v>
      </c>
      <c r="P9" s="908" t="s">
        <v>161</v>
      </c>
      <c r="Q9" s="918"/>
      <c r="R9" s="920"/>
      <c r="S9" s="853"/>
      <c r="T9" s="881"/>
    </row>
    <row r="10" spans="1:20" ht="30" customHeight="1" thickTop="1" thickBot="1">
      <c r="A10" s="184"/>
      <c r="B10" s="894"/>
      <c r="C10" s="894"/>
      <c r="D10" s="895"/>
      <c r="E10" s="899"/>
      <c r="F10" s="886"/>
      <c r="G10" s="888"/>
      <c r="H10" s="890"/>
      <c r="I10" s="914"/>
      <c r="J10" s="886"/>
      <c r="K10" s="888"/>
      <c r="L10" s="890"/>
      <c r="M10" s="914"/>
      <c r="N10" s="886"/>
      <c r="O10" s="888"/>
      <c r="P10" s="908"/>
      <c r="Q10" s="918"/>
      <c r="R10" s="921"/>
      <c r="S10" s="923"/>
      <c r="T10" s="882"/>
    </row>
    <row r="11" spans="1:20" ht="25.5" customHeight="1" thickTop="1">
      <c r="A11" s="227">
        <v>1</v>
      </c>
      <c r="B11" s="883" t="s">
        <v>91</v>
      </c>
      <c r="C11" s="883"/>
      <c r="D11" s="884"/>
      <c r="E11" s="228"/>
      <c r="F11" s="229"/>
      <c r="G11" s="230"/>
      <c r="H11" s="230"/>
      <c r="I11" s="231"/>
      <c r="J11" s="229"/>
      <c r="K11" s="230"/>
      <c r="L11" s="230"/>
      <c r="M11" s="232"/>
      <c r="N11" s="229"/>
      <c r="O11" s="230"/>
      <c r="P11" s="230"/>
      <c r="Q11" s="233"/>
      <c r="R11" s="228"/>
      <c r="S11" s="228"/>
      <c r="T11" s="405"/>
    </row>
    <row r="12" spans="1:20" ht="18" customHeight="1">
      <c r="A12" s="234">
        <f>A11+1</f>
        <v>2</v>
      </c>
      <c r="B12" s="235" t="s">
        <v>41</v>
      </c>
      <c r="C12" s="235"/>
      <c r="D12" s="236"/>
      <c r="E12" s="237"/>
      <c r="F12" s="238"/>
      <c r="G12" s="239"/>
      <c r="H12" s="239"/>
      <c r="I12" s="240"/>
      <c r="J12" s="238"/>
      <c r="K12" s="239"/>
      <c r="L12" s="239"/>
      <c r="M12" s="241"/>
      <c r="N12" s="238"/>
      <c r="O12" s="239"/>
      <c r="P12" s="239"/>
      <c r="Q12" s="241"/>
      <c r="R12" s="242"/>
      <c r="S12" s="242"/>
      <c r="T12" s="406"/>
    </row>
    <row r="13" spans="1:20">
      <c r="A13" s="243">
        <f>A12+1</f>
        <v>3</v>
      </c>
      <c r="B13" s="244"/>
      <c r="C13" s="244" t="s">
        <v>40</v>
      </c>
      <c r="D13" s="231"/>
      <c r="E13" s="245" t="s">
        <v>118</v>
      </c>
      <c r="F13" s="246">
        <f>'Annual Budget '!G13</f>
        <v>0</v>
      </c>
      <c r="G13" s="392"/>
      <c r="H13" s="247">
        <f>SUM(F13:G13)</f>
        <v>0</v>
      </c>
      <c r="I13" s="393"/>
      <c r="J13" s="246">
        <f>'Annual Budget '!I13</f>
        <v>0</v>
      </c>
      <c r="K13" s="392"/>
      <c r="L13" s="247">
        <f>SUM(J13:K13)</f>
        <v>0</v>
      </c>
      <c r="M13" s="393"/>
      <c r="N13" s="249">
        <f>F13+J13</f>
        <v>0</v>
      </c>
      <c r="O13" s="250">
        <f>K13+G13</f>
        <v>0</v>
      </c>
      <c r="P13" s="250">
        <f>SUM(N13:O13)</f>
        <v>0</v>
      </c>
      <c r="Q13" s="240">
        <f>M13+I13</f>
        <v>0</v>
      </c>
      <c r="R13" s="251">
        <f t="shared" ref="R13:R22" si="0">P13/$P$85</f>
        <v>0</v>
      </c>
      <c r="S13" s="252" t="str">
        <f>IFERROR(Q13/P13,"")</f>
        <v/>
      </c>
      <c r="T13" s="407"/>
    </row>
    <row r="14" spans="1:20">
      <c r="A14" s="243">
        <f t="shared" ref="A14:A77" si="1">A13+1</f>
        <v>4</v>
      </c>
      <c r="B14" s="244"/>
      <c r="C14" s="244" t="s">
        <v>108</v>
      </c>
      <c r="D14" s="231"/>
      <c r="E14" s="245" t="s">
        <v>119</v>
      </c>
      <c r="F14" s="253"/>
      <c r="G14" s="254"/>
      <c r="H14" s="254"/>
      <c r="I14" s="255"/>
      <c r="J14" s="246">
        <f>'Annual Budget '!I14</f>
        <v>0</v>
      </c>
      <c r="K14" s="392"/>
      <c r="L14" s="247">
        <f t="shared" ref="L14" si="2">SUM(J14:K14)</f>
        <v>0</v>
      </c>
      <c r="M14" s="393"/>
      <c r="N14" s="249">
        <f t="shared" ref="N14:N21" si="3">F14+J14</f>
        <v>0</v>
      </c>
      <c r="O14" s="250">
        <f t="shared" ref="O14:O21" si="4">K14+G14</f>
        <v>0</v>
      </c>
      <c r="P14" s="250">
        <f t="shared" ref="P14:P21" si="5">SUM(N14:O14)</f>
        <v>0</v>
      </c>
      <c r="Q14" s="240">
        <f t="shared" ref="Q14:Q21" si="6">M14+I14</f>
        <v>0</v>
      </c>
      <c r="R14" s="251">
        <f t="shared" si="0"/>
        <v>0</v>
      </c>
      <c r="S14" s="252" t="str">
        <f t="shared" ref="S14:S22" si="7">IFERROR(Q14/P14,"")</f>
        <v/>
      </c>
      <c r="T14" s="407"/>
    </row>
    <row r="15" spans="1:20">
      <c r="A15" s="243">
        <f t="shared" si="1"/>
        <v>5</v>
      </c>
      <c r="B15" s="244"/>
      <c r="C15" s="244" t="s">
        <v>42</v>
      </c>
      <c r="D15" s="231"/>
      <c r="E15" s="245">
        <v>1920</v>
      </c>
      <c r="F15" s="246">
        <f>'Annual Budget '!G15</f>
        <v>0</v>
      </c>
      <c r="G15" s="392"/>
      <c r="H15" s="247">
        <f t="shared" ref="H15:H21" si="8">SUM(F15:G15)</f>
        <v>0</v>
      </c>
      <c r="I15" s="393"/>
      <c r="J15" s="246">
        <f>'Annual Budget '!I15</f>
        <v>0</v>
      </c>
      <c r="K15" s="392"/>
      <c r="L15" s="247">
        <f t="shared" ref="L15:L21" si="9">SUM(J15:K15)</f>
        <v>0</v>
      </c>
      <c r="M15" s="393"/>
      <c r="N15" s="249">
        <f t="shared" si="3"/>
        <v>0</v>
      </c>
      <c r="O15" s="250">
        <f t="shared" si="4"/>
        <v>0</v>
      </c>
      <c r="P15" s="250">
        <f t="shared" si="5"/>
        <v>0</v>
      </c>
      <c r="Q15" s="240">
        <f t="shared" si="6"/>
        <v>0</v>
      </c>
      <c r="R15" s="251">
        <f t="shared" si="0"/>
        <v>0</v>
      </c>
      <c r="S15" s="252" t="str">
        <f t="shared" si="7"/>
        <v/>
      </c>
      <c r="T15" s="407"/>
    </row>
    <row r="16" spans="1:20">
      <c r="A16" s="243">
        <f t="shared" si="1"/>
        <v>6</v>
      </c>
      <c r="B16" s="244"/>
      <c r="C16" s="244" t="s">
        <v>109</v>
      </c>
      <c r="D16" s="231"/>
      <c r="E16" s="245">
        <v>1993</v>
      </c>
      <c r="F16" s="246">
        <f>'Annual Budget '!G16</f>
        <v>0</v>
      </c>
      <c r="G16" s="392"/>
      <c r="H16" s="247">
        <f t="shared" si="8"/>
        <v>0</v>
      </c>
      <c r="I16" s="393"/>
      <c r="J16" s="246">
        <f>'Annual Budget '!I16</f>
        <v>0</v>
      </c>
      <c r="K16" s="392"/>
      <c r="L16" s="247">
        <f t="shared" si="9"/>
        <v>0</v>
      </c>
      <c r="M16" s="393"/>
      <c r="N16" s="249">
        <f t="shared" si="3"/>
        <v>0</v>
      </c>
      <c r="O16" s="250">
        <f t="shared" si="4"/>
        <v>0</v>
      </c>
      <c r="P16" s="250">
        <f t="shared" si="5"/>
        <v>0</v>
      </c>
      <c r="Q16" s="240">
        <f t="shared" si="6"/>
        <v>0</v>
      </c>
      <c r="R16" s="251">
        <f t="shared" si="0"/>
        <v>0</v>
      </c>
      <c r="S16" s="252" t="str">
        <f t="shared" si="7"/>
        <v/>
      </c>
      <c r="T16" s="407"/>
    </row>
    <row r="17" spans="1:20">
      <c r="A17" s="243">
        <f t="shared" si="1"/>
        <v>7</v>
      </c>
      <c r="B17" s="244"/>
      <c r="C17" s="244" t="s">
        <v>130</v>
      </c>
      <c r="D17" s="231"/>
      <c r="E17" s="245">
        <v>1994</v>
      </c>
      <c r="F17" s="246">
        <f>'Annual Budget '!G17</f>
        <v>1949250</v>
      </c>
      <c r="G17" s="392"/>
      <c r="H17" s="247">
        <f t="shared" si="8"/>
        <v>1949250</v>
      </c>
      <c r="I17" s="393"/>
      <c r="J17" s="253"/>
      <c r="K17" s="254"/>
      <c r="L17" s="254"/>
      <c r="M17" s="255"/>
      <c r="N17" s="249">
        <f t="shared" si="3"/>
        <v>1949250</v>
      </c>
      <c r="O17" s="250">
        <f t="shared" si="4"/>
        <v>0</v>
      </c>
      <c r="P17" s="250">
        <f t="shared" si="5"/>
        <v>1949250</v>
      </c>
      <c r="Q17" s="240">
        <f t="shared" si="6"/>
        <v>0</v>
      </c>
      <c r="R17" s="251">
        <f t="shared" si="0"/>
        <v>0.39615564845089363</v>
      </c>
      <c r="S17" s="252">
        <f t="shared" si="7"/>
        <v>0</v>
      </c>
      <c r="T17" s="407"/>
    </row>
    <row r="18" spans="1:20">
      <c r="A18" s="243">
        <f t="shared" si="1"/>
        <v>8</v>
      </c>
      <c r="B18" s="244"/>
      <c r="C18" s="244" t="s">
        <v>117</v>
      </c>
      <c r="D18" s="231"/>
      <c r="E18" s="245" t="s">
        <v>102</v>
      </c>
      <c r="F18" s="246">
        <f>'Annual Budget '!G18</f>
        <v>5218</v>
      </c>
      <c r="G18" s="392"/>
      <c r="H18" s="247">
        <f t="shared" si="8"/>
        <v>5218</v>
      </c>
      <c r="I18" s="393"/>
      <c r="J18" s="246">
        <f>'Annual Budget '!I18</f>
        <v>0</v>
      </c>
      <c r="K18" s="392"/>
      <c r="L18" s="247">
        <f t="shared" si="9"/>
        <v>0</v>
      </c>
      <c r="M18" s="393"/>
      <c r="N18" s="249">
        <f t="shared" si="3"/>
        <v>5218</v>
      </c>
      <c r="O18" s="250">
        <f t="shared" si="4"/>
        <v>0</v>
      </c>
      <c r="P18" s="250">
        <f t="shared" si="5"/>
        <v>5218</v>
      </c>
      <c r="Q18" s="240">
        <f t="shared" si="6"/>
        <v>0</v>
      </c>
      <c r="R18" s="251">
        <f t="shared" si="0"/>
        <v>1.0604797607370849E-3</v>
      </c>
      <c r="S18" s="252">
        <f t="shared" si="7"/>
        <v>0</v>
      </c>
      <c r="T18" s="407"/>
    </row>
    <row r="19" spans="1:20">
      <c r="A19" s="243">
        <f t="shared" si="1"/>
        <v>9</v>
      </c>
      <c r="B19" s="396"/>
      <c r="C19" s="396" t="s">
        <v>181</v>
      </c>
      <c r="D19" s="394"/>
      <c r="E19" s="395"/>
      <c r="F19" s="246">
        <f>'Annual Budget '!G19</f>
        <v>0</v>
      </c>
      <c r="G19" s="392"/>
      <c r="H19" s="247">
        <f t="shared" si="8"/>
        <v>0</v>
      </c>
      <c r="I19" s="393"/>
      <c r="J19" s="246">
        <f>'Annual Budget '!I19</f>
        <v>0</v>
      </c>
      <c r="K19" s="392"/>
      <c r="L19" s="247">
        <f t="shared" si="9"/>
        <v>0</v>
      </c>
      <c r="M19" s="393"/>
      <c r="N19" s="249">
        <f t="shared" si="3"/>
        <v>0</v>
      </c>
      <c r="O19" s="250">
        <f t="shared" si="4"/>
        <v>0</v>
      </c>
      <c r="P19" s="250">
        <f t="shared" si="5"/>
        <v>0</v>
      </c>
      <c r="Q19" s="240">
        <f t="shared" si="6"/>
        <v>0</v>
      </c>
      <c r="R19" s="251">
        <f t="shared" si="0"/>
        <v>0</v>
      </c>
      <c r="S19" s="252" t="str">
        <f t="shared" si="7"/>
        <v/>
      </c>
      <c r="T19" s="407"/>
    </row>
    <row r="20" spans="1:20">
      <c r="A20" s="243">
        <f t="shared" si="1"/>
        <v>10</v>
      </c>
      <c r="B20" s="396"/>
      <c r="C20" s="396" t="s">
        <v>181</v>
      </c>
      <c r="D20" s="394"/>
      <c r="E20" s="395"/>
      <c r="F20" s="246">
        <f>'Annual Budget '!G20</f>
        <v>0</v>
      </c>
      <c r="G20" s="392"/>
      <c r="H20" s="247">
        <f t="shared" si="8"/>
        <v>0</v>
      </c>
      <c r="I20" s="393"/>
      <c r="J20" s="246">
        <f>'Annual Budget '!I20</f>
        <v>0</v>
      </c>
      <c r="K20" s="392"/>
      <c r="L20" s="247">
        <f t="shared" si="9"/>
        <v>0</v>
      </c>
      <c r="M20" s="393"/>
      <c r="N20" s="249">
        <f t="shared" si="3"/>
        <v>0</v>
      </c>
      <c r="O20" s="250">
        <f t="shared" si="4"/>
        <v>0</v>
      </c>
      <c r="P20" s="250">
        <f t="shared" si="5"/>
        <v>0</v>
      </c>
      <c r="Q20" s="240">
        <f t="shared" si="6"/>
        <v>0</v>
      </c>
      <c r="R20" s="251">
        <f t="shared" si="0"/>
        <v>0</v>
      </c>
      <c r="S20" s="252" t="str">
        <f t="shared" si="7"/>
        <v/>
      </c>
      <c r="T20" s="407"/>
    </row>
    <row r="21" spans="1:20">
      <c r="A21" s="243">
        <f t="shared" si="1"/>
        <v>11</v>
      </c>
      <c r="B21" s="396"/>
      <c r="C21" s="396" t="s">
        <v>181</v>
      </c>
      <c r="D21" s="394"/>
      <c r="E21" s="395"/>
      <c r="F21" s="246">
        <f>'Annual Budget '!G21</f>
        <v>0</v>
      </c>
      <c r="G21" s="392"/>
      <c r="H21" s="247">
        <f t="shared" si="8"/>
        <v>0</v>
      </c>
      <c r="I21" s="393"/>
      <c r="J21" s="246">
        <f>'Annual Budget '!I21</f>
        <v>0</v>
      </c>
      <c r="K21" s="392"/>
      <c r="L21" s="247">
        <f t="shared" si="9"/>
        <v>0</v>
      </c>
      <c r="M21" s="393"/>
      <c r="N21" s="249">
        <f t="shared" si="3"/>
        <v>0</v>
      </c>
      <c r="O21" s="250">
        <f t="shared" si="4"/>
        <v>0</v>
      </c>
      <c r="P21" s="250">
        <f t="shared" si="5"/>
        <v>0</v>
      </c>
      <c r="Q21" s="240">
        <f t="shared" si="6"/>
        <v>0</v>
      </c>
      <c r="R21" s="251">
        <f t="shared" si="0"/>
        <v>0</v>
      </c>
      <c r="S21" s="252" t="str">
        <f t="shared" si="7"/>
        <v/>
      </c>
      <c r="T21" s="407"/>
    </row>
    <row r="22" spans="1:20" ht="18" customHeight="1">
      <c r="A22" s="256">
        <f t="shared" si="1"/>
        <v>12</v>
      </c>
      <c r="B22" s="257" t="s">
        <v>43</v>
      </c>
      <c r="C22" s="257"/>
      <c r="D22" s="258"/>
      <c r="E22" s="259"/>
      <c r="F22" s="260">
        <f>SUM(F13:F21)</f>
        <v>1954468</v>
      </c>
      <c r="G22" s="261">
        <f t="shared" ref="G22:Q22" si="10">SUM(G13:G21)</f>
        <v>0</v>
      </c>
      <c r="H22" s="261">
        <f t="shared" si="10"/>
        <v>1954468</v>
      </c>
      <c r="I22" s="262">
        <f t="shared" si="10"/>
        <v>0</v>
      </c>
      <c r="J22" s="260">
        <f t="shared" si="10"/>
        <v>0</v>
      </c>
      <c r="K22" s="261">
        <f t="shared" si="10"/>
        <v>0</v>
      </c>
      <c r="L22" s="261">
        <f t="shared" si="10"/>
        <v>0</v>
      </c>
      <c r="M22" s="262">
        <f t="shared" si="10"/>
        <v>0</v>
      </c>
      <c r="N22" s="260">
        <f t="shared" si="10"/>
        <v>1954468</v>
      </c>
      <c r="O22" s="261">
        <f t="shared" si="10"/>
        <v>0</v>
      </c>
      <c r="P22" s="261">
        <f t="shared" si="10"/>
        <v>1954468</v>
      </c>
      <c r="Q22" s="262">
        <f t="shared" si="10"/>
        <v>0</v>
      </c>
      <c r="R22" s="263">
        <f t="shared" si="0"/>
        <v>0.39721612821163071</v>
      </c>
      <c r="S22" s="263">
        <f t="shared" si="7"/>
        <v>0</v>
      </c>
      <c r="T22" s="408"/>
    </row>
    <row r="23" spans="1:20">
      <c r="A23" s="243">
        <f t="shared" si="1"/>
        <v>13</v>
      </c>
      <c r="B23" s="244"/>
      <c r="C23" s="244"/>
      <c r="D23" s="231"/>
      <c r="E23" s="264"/>
      <c r="F23" s="246"/>
      <c r="G23" s="247"/>
      <c r="H23" s="247"/>
      <c r="I23" s="248"/>
      <c r="J23" s="246"/>
      <c r="K23" s="247"/>
      <c r="L23" s="247"/>
      <c r="M23" s="248"/>
      <c r="N23" s="246"/>
      <c r="O23" s="247"/>
      <c r="P23" s="247"/>
      <c r="Q23" s="248"/>
      <c r="R23" s="265"/>
      <c r="S23" s="265"/>
      <c r="T23" s="409"/>
    </row>
    <row r="24" spans="1:20" ht="18" customHeight="1">
      <c r="A24" s="234">
        <f t="shared" si="1"/>
        <v>14</v>
      </c>
      <c r="B24" s="235" t="s">
        <v>44</v>
      </c>
      <c r="C24" s="235"/>
      <c r="D24" s="236"/>
      <c r="E24" s="266"/>
      <c r="F24" s="249"/>
      <c r="G24" s="250"/>
      <c r="H24" s="250"/>
      <c r="I24" s="240"/>
      <c r="J24" s="249"/>
      <c r="K24" s="250"/>
      <c r="L24" s="250"/>
      <c r="M24" s="240"/>
      <c r="N24" s="249"/>
      <c r="O24" s="250"/>
      <c r="P24" s="250"/>
      <c r="Q24" s="240"/>
      <c r="R24" s="267"/>
      <c r="S24" s="267"/>
      <c r="T24" s="410"/>
    </row>
    <row r="25" spans="1:20">
      <c r="A25" s="243">
        <f t="shared" si="1"/>
        <v>15</v>
      </c>
      <c r="B25" s="244"/>
      <c r="C25" s="244" t="s">
        <v>45</v>
      </c>
      <c r="D25" s="231"/>
      <c r="E25" s="266"/>
      <c r="F25" s="249"/>
      <c r="G25" s="250"/>
      <c r="H25" s="250"/>
      <c r="I25" s="240"/>
      <c r="J25" s="249"/>
      <c r="K25" s="250"/>
      <c r="L25" s="250"/>
      <c r="M25" s="240"/>
      <c r="N25" s="249"/>
      <c r="O25" s="250"/>
      <c r="P25" s="250"/>
      <c r="Q25" s="240"/>
      <c r="R25" s="267"/>
      <c r="S25" s="267"/>
      <c r="T25" s="410"/>
    </row>
    <row r="26" spans="1:20">
      <c r="A26" s="243">
        <f t="shared" si="1"/>
        <v>16</v>
      </c>
      <c r="B26" s="244"/>
      <c r="C26" s="244"/>
      <c r="D26" s="231" t="s">
        <v>46</v>
      </c>
      <c r="E26" s="245">
        <v>3110</v>
      </c>
      <c r="F26" s="246">
        <f>'Annual Budget '!G26</f>
        <v>1344316.2326921532</v>
      </c>
      <c r="G26" s="392"/>
      <c r="H26" s="247">
        <f t="shared" ref="H26:H38" si="11">SUM(F26:G26)</f>
        <v>1344316.2326921532</v>
      </c>
      <c r="I26" s="393"/>
      <c r="J26" s="253"/>
      <c r="K26" s="254"/>
      <c r="L26" s="254"/>
      <c r="M26" s="255"/>
      <c r="N26" s="246">
        <f>F26+J26</f>
        <v>1344316.2326921532</v>
      </c>
      <c r="O26" s="247">
        <f>K26+G26</f>
        <v>0</v>
      </c>
      <c r="P26" s="247">
        <f>SUM(N26:O26)</f>
        <v>1344316.2326921532</v>
      </c>
      <c r="Q26" s="240">
        <f>M26+I26</f>
        <v>0</v>
      </c>
      <c r="R26" s="251">
        <f>P26/$P$85</f>
        <v>0.27321198865472479</v>
      </c>
      <c r="S26" s="251">
        <f t="shared" ref="S26:S27" si="12">IFERROR(Q26/P26,"")</f>
        <v>0</v>
      </c>
      <c r="T26" s="407"/>
    </row>
    <row r="27" spans="1:20">
      <c r="A27" s="243">
        <f t="shared" si="1"/>
        <v>17</v>
      </c>
      <c r="B27" s="244"/>
      <c r="C27" s="244"/>
      <c r="D27" s="231" t="s">
        <v>47</v>
      </c>
      <c r="E27" s="245">
        <v>3190</v>
      </c>
      <c r="F27" s="246">
        <f>'Annual Budget '!G27</f>
        <v>0</v>
      </c>
      <c r="G27" s="392"/>
      <c r="H27" s="247">
        <f t="shared" si="11"/>
        <v>0</v>
      </c>
      <c r="I27" s="393"/>
      <c r="J27" s="246">
        <f>'Annual Budget '!I27</f>
        <v>0</v>
      </c>
      <c r="K27" s="392"/>
      <c r="L27" s="247">
        <f t="shared" ref="L27" si="13">SUM(J27:K27)</f>
        <v>0</v>
      </c>
      <c r="M27" s="393"/>
      <c r="N27" s="246">
        <f>F27+J27</f>
        <v>0</v>
      </c>
      <c r="O27" s="247">
        <f>K27+G27</f>
        <v>0</v>
      </c>
      <c r="P27" s="247">
        <f>SUM(N27:O27)</f>
        <v>0</v>
      </c>
      <c r="Q27" s="240">
        <f>M27+I27</f>
        <v>0</v>
      </c>
      <c r="R27" s="251">
        <f>P27/$P$85</f>
        <v>0</v>
      </c>
      <c r="S27" s="251" t="str">
        <f t="shared" si="12"/>
        <v/>
      </c>
      <c r="T27" s="407"/>
    </row>
    <row r="28" spans="1:20">
      <c r="A28" s="243">
        <f t="shared" si="1"/>
        <v>18</v>
      </c>
      <c r="B28" s="244"/>
      <c r="C28" s="244" t="s">
        <v>48</v>
      </c>
      <c r="D28" s="231"/>
      <c r="E28" s="237"/>
      <c r="F28" s="249"/>
      <c r="G28" s="250"/>
      <c r="H28" s="250"/>
      <c r="I28" s="240"/>
      <c r="J28" s="249"/>
      <c r="K28" s="250"/>
      <c r="L28" s="250"/>
      <c r="M28" s="240"/>
      <c r="N28" s="249"/>
      <c r="O28" s="250"/>
      <c r="P28" s="250"/>
      <c r="Q28" s="240"/>
      <c r="R28" s="251"/>
      <c r="S28" s="251"/>
      <c r="T28" s="410"/>
    </row>
    <row r="29" spans="1:20">
      <c r="A29" s="243">
        <f t="shared" si="1"/>
        <v>19</v>
      </c>
      <c r="B29" s="244"/>
      <c r="C29" s="244"/>
      <c r="D29" s="231" t="s">
        <v>49</v>
      </c>
      <c r="E29" s="245">
        <v>3220</v>
      </c>
      <c r="F29" s="246">
        <f>'Annual Budget '!G29</f>
        <v>0</v>
      </c>
      <c r="G29" s="392"/>
      <c r="H29" s="247">
        <f t="shared" si="11"/>
        <v>0</v>
      </c>
      <c r="I29" s="393"/>
      <c r="J29" s="246">
        <f>'Annual Budget '!I29</f>
        <v>0</v>
      </c>
      <c r="K29" s="392"/>
      <c r="L29" s="247">
        <f t="shared" ref="L29:L38" si="14">SUM(J29:K29)</f>
        <v>0</v>
      </c>
      <c r="M29" s="393"/>
      <c r="N29" s="246">
        <f t="shared" ref="N29:N38" si="15">F29+J29</f>
        <v>0</v>
      </c>
      <c r="O29" s="247">
        <f t="shared" ref="O29:O38" si="16">K29+G29</f>
        <v>0</v>
      </c>
      <c r="P29" s="247">
        <f t="shared" ref="P29:P38" si="17">SUM(N29:O29)</f>
        <v>0</v>
      </c>
      <c r="Q29" s="240">
        <f t="shared" ref="Q29:Q38" si="18">M29+I29</f>
        <v>0</v>
      </c>
      <c r="R29" s="251">
        <f t="shared" ref="R29:R39" si="19">P29/$P$85</f>
        <v>0</v>
      </c>
      <c r="S29" s="251" t="str">
        <f t="shared" ref="S29:S39" si="20">IFERROR(Q29/P29,"")</f>
        <v/>
      </c>
      <c r="T29" s="407"/>
    </row>
    <row r="30" spans="1:20">
      <c r="A30" s="243">
        <f t="shared" si="1"/>
        <v>20</v>
      </c>
      <c r="B30" s="244"/>
      <c r="C30" s="244"/>
      <c r="D30" s="231" t="s">
        <v>50</v>
      </c>
      <c r="E30" s="245">
        <v>3230</v>
      </c>
      <c r="F30" s="246">
        <f>'Annual Budget '!G30</f>
        <v>0</v>
      </c>
      <c r="G30" s="392"/>
      <c r="H30" s="247">
        <f t="shared" si="11"/>
        <v>0</v>
      </c>
      <c r="I30" s="393"/>
      <c r="J30" s="253"/>
      <c r="K30" s="254"/>
      <c r="L30" s="254"/>
      <c r="M30" s="255"/>
      <c r="N30" s="246">
        <f t="shared" si="15"/>
        <v>0</v>
      </c>
      <c r="O30" s="247">
        <f t="shared" si="16"/>
        <v>0</v>
      </c>
      <c r="P30" s="247">
        <f t="shared" si="17"/>
        <v>0</v>
      </c>
      <c r="Q30" s="240">
        <f t="shared" si="18"/>
        <v>0</v>
      </c>
      <c r="R30" s="251">
        <f t="shared" si="19"/>
        <v>0</v>
      </c>
      <c r="S30" s="251" t="str">
        <f t="shared" si="20"/>
        <v/>
      </c>
      <c r="T30" s="407"/>
    </row>
    <row r="31" spans="1:20">
      <c r="A31" s="243">
        <f t="shared" si="1"/>
        <v>21</v>
      </c>
      <c r="B31" s="244"/>
      <c r="C31" s="244"/>
      <c r="D31" s="231" t="s">
        <v>94</v>
      </c>
      <c r="E31" s="245">
        <v>3290</v>
      </c>
      <c r="F31" s="246">
        <f>'Annual Budget '!G31</f>
        <v>0</v>
      </c>
      <c r="G31" s="392"/>
      <c r="H31" s="247">
        <f t="shared" si="11"/>
        <v>0</v>
      </c>
      <c r="I31" s="393"/>
      <c r="J31" s="246">
        <f>'Annual Budget '!I31</f>
        <v>0</v>
      </c>
      <c r="K31" s="392"/>
      <c r="L31" s="247">
        <f t="shared" si="14"/>
        <v>0</v>
      </c>
      <c r="M31" s="393"/>
      <c r="N31" s="246">
        <f t="shared" si="15"/>
        <v>0</v>
      </c>
      <c r="O31" s="247">
        <f t="shared" si="16"/>
        <v>0</v>
      </c>
      <c r="P31" s="247">
        <f t="shared" si="17"/>
        <v>0</v>
      </c>
      <c r="Q31" s="240">
        <f t="shared" si="18"/>
        <v>0</v>
      </c>
      <c r="R31" s="251">
        <f t="shared" si="19"/>
        <v>0</v>
      </c>
      <c r="S31" s="251" t="str">
        <f t="shared" si="20"/>
        <v/>
      </c>
      <c r="T31" s="407"/>
    </row>
    <row r="32" spans="1:20">
      <c r="A32" s="243">
        <f t="shared" si="1"/>
        <v>22</v>
      </c>
      <c r="B32" s="244"/>
      <c r="C32" s="244"/>
      <c r="D32" s="231" t="s">
        <v>164</v>
      </c>
      <c r="E32" s="245">
        <v>3240</v>
      </c>
      <c r="F32" s="246">
        <f>'Annual Budget '!G32</f>
        <v>0</v>
      </c>
      <c r="G32" s="392"/>
      <c r="H32" s="247">
        <f t="shared" si="11"/>
        <v>0</v>
      </c>
      <c r="I32" s="393"/>
      <c r="J32" s="246">
        <f>'Annual Budget '!I32</f>
        <v>0</v>
      </c>
      <c r="K32" s="392"/>
      <c r="L32" s="247">
        <f t="shared" si="14"/>
        <v>0</v>
      </c>
      <c r="M32" s="393"/>
      <c r="N32" s="246">
        <f t="shared" si="15"/>
        <v>0</v>
      </c>
      <c r="O32" s="247">
        <f t="shared" si="16"/>
        <v>0</v>
      </c>
      <c r="P32" s="247">
        <f t="shared" si="17"/>
        <v>0</v>
      </c>
      <c r="Q32" s="240">
        <f t="shared" si="18"/>
        <v>0</v>
      </c>
      <c r="R32" s="251">
        <f t="shared" si="19"/>
        <v>0</v>
      </c>
      <c r="S32" s="251" t="str">
        <f t="shared" si="20"/>
        <v/>
      </c>
      <c r="T32" s="407"/>
    </row>
    <row r="33" spans="1:20">
      <c r="A33" s="243">
        <f t="shared" si="1"/>
        <v>23</v>
      </c>
      <c r="B33" s="244"/>
      <c r="C33" s="244"/>
      <c r="D33" s="231" t="s">
        <v>133</v>
      </c>
      <c r="E33" s="245">
        <v>3290</v>
      </c>
      <c r="F33" s="246">
        <f>'Annual Budget '!G33</f>
        <v>0</v>
      </c>
      <c r="G33" s="392"/>
      <c r="H33" s="247">
        <f t="shared" si="11"/>
        <v>0</v>
      </c>
      <c r="I33" s="393"/>
      <c r="J33" s="246">
        <f>'Annual Budget '!I33</f>
        <v>0</v>
      </c>
      <c r="K33" s="392"/>
      <c r="L33" s="247">
        <f t="shared" si="14"/>
        <v>0</v>
      </c>
      <c r="M33" s="393"/>
      <c r="N33" s="246">
        <f t="shared" si="15"/>
        <v>0</v>
      </c>
      <c r="O33" s="247">
        <f t="shared" si="16"/>
        <v>0</v>
      </c>
      <c r="P33" s="247">
        <f t="shared" si="17"/>
        <v>0</v>
      </c>
      <c r="Q33" s="240">
        <f t="shared" si="18"/>
        <v>0</v>
      </c>
      <c r="R33" s="251">
        <f t="shared" si="19"/>
        <v>0</v>
      </c>
      <c r="S33" s="251" t="str">
        <f t="shared" si="20"/>
        <v/>
      </c>
      <c r="T33" s="407"/>
    </row>
    <row r="34" spans="1:20">
      <c r="A34" s="243">
        <f t="shared" si="1"/>
        <v>24</v>
      </c>
      <c r="B34" s="244"/>
      <c r="C34" s="244"/>
      <c r="D34" s="231" t="s">
        <v>137</v>
      </c>
      <c r="E34" s="245">
        <v>3290</v>
      </c>
      <c r="F34" s="246">
        <f>'Annual Budget '!G34</f>
        <v>0</v>
      </c>
      <c r="G34" s="392"/>
      <c r="H34" s="247">
        <f t="shared" si="11"/>
        <v>0</v>
      </c>
      <c r="I34" s="393"/>
      <c r="J34" s="246">
        <f>'Annual Budget '!I34</f>
        <v>22389.705882352941</v>
      </c>
      <c r="K34" s="392"/>
      <c r="L34" s="247">
        <f t="shared" si="14"/>
        <v>22389.705882352941</v>
      </c>
      <c r="M34" s="393"/>
      <c r="N34" s="246">
        <f t="shared" si="15"/>
        <v>22389.705882352941</v>
      </c>
      <c r="O34" s="247">
        <f t="shared" si="16"/>
        <v>0</v>
      </c>
      <c r="P34" s="247">
        <f t="shared" si="17"/>
        <v>22389.705882352941</v>
      </c>
      <c r="Q34" s="240">
        <f t="shared" si="18"/>
        <v>0</v>
      </c>
      <c r="R34" s="251">
        <f t="shared" si="19"/>
        <v>4.550369861458672E-3</v>
      </c>
      <c r="S34" s="251">
        <f t="shared" si="20"/>
        <v>0</v>
      </c>
      <c r="T34" s="407"/>
    </row>
    <row r="35" spans="1:20">
      <c r="A35" s="243">
        <f t="shared" si="1"/>
        <v>25</v>
      </c>
      <c r="B35" s="396"/>
      <c r="C35" s="396" t="s">
        <v>181</v>
      </c>
      <c r="D35" s="394"/>
      <c r="E35" s="395"/>
      <c r="F35" s="246">
        <f>'Annual Budget '!G35</f>
        <v>0</v>
      </c>
      <c r="G35" s="392"/>
      <c r="H35" s="247">
        <f t="shared" si="11"/>
        <v>0</v>
      </c>
      <c r="I35" s="393"/>
      <c r="J35" s="246">
        <f>'Annual Budget '!I35</f>
        <v>0</v>
      </c>
      <c r="K35" s="392"/>
      <c r="L35" s="247">
        <f t="shared" si="14"/>
        <v>0</v>
      </c>
      <c r="M35" s="393"/>
      <c r="N35" s="246">
        <f t="shared" si="15"/>
        <v>0</v>
      </c>
      <c r="O35" s="247">
        <f t="shared" si="16"/>
        <v>0</v>
      </c>
      <c r="P35" s="247">
        <f t="shared" si="17"/>
        <v>0</v>
      </c>
      <c r="Q35" s="240">
        <f t="shared" si="18"/>
        <v>0</v>
      </c>
      <c r="R35" s="251">
        <f t="shared" si="19"/>
        <v>0</v>
      </c>
      <c r="S35" s="251" t="str">
        <f t="shared" si="20"/>
        <v/>
      </c>
      <c r="T35" s="407"/>
    </row>
    <row r="36" spans="1:20">
      <c r="A36" s="243">
        <f t="shared" si="1"/>
        <v>26</v>
      </c>
      <c r="B36" s="396"/>
      <c r="C36" s="396" t="s">
        <v>181</v>
      </c>
      <c r="D36" s="394"/>
      <c r="E36" s="395"/>
      <c r="F36" s="246">
        <f>'Annual Budget '!G36</f>
        <v>0</v>
      </c>
      <c r="G36" s="392"/>
      <c r="H36" s="247">
        <f t="shared" si="11"/>
        <v>0</v>
      </c>
      <c r="I36" s="393"/>
      <c r="J36" s="246">
        <f>'Annual Budget '!I36</f>
        <v>0</v>
      </c>
      <c r="K36" s="392"/>
      <c r="L36" s="247">
        <f t="shared" si="14"/>
        <v>0</v>
      </c>
      <c r="M36" s="393"/>
      <c r="N36" s="246">
        <f t="shared" si="15"/>
        <v>0</v>
      </c>
      <c r="O36" s="247">
        <f t="shared" si="16"/>
        <v>0</v>
      </c>
      <c r="P36" s="247">
        <f t="shared" si="17"/>
        <v>0</v>
      </c>
      <c r="Q36" s="240">
        <f t="shared" si="18"/>
        <v>0</v>
      </c>
      <c r="R36" s="251">
        <f t="shared" si="19"/>
        <v>0</v>
      </c>
      <c r="S36" s="251" t="str">
        <f t="shared" si="20"/>
        <v/>
      </c>
      <c r="T36" s="407"/>
    </row>
    <row r="37" spans="1:20">
      <c r="A37" s="243">
        <f t="shared" si="1"/>
        <v>27</v>
      </c>
      <c r="B37" s="396"/>
      <c r="C37" s="396" t="s">
        <v>181</v>
      </c>
      <c r="D37" s="394"/>
      <c r="E37" s="397"/>
      <c r="F37" s="246">
        <f>'Annual Budget '!G37</f>
        <v>0</v>
      </c>
      <c r="G37" s="392"/>
      <c r="H37" s="247">
        <f t="shared" si="11"/>
        <v>0</v>
      </c>
      <c r="I37" s="393"/>
      <c r="J37" s="246">
        <f>'Annual Budget '!I37</f>
        <v>0</v>
      </c>
      <c r="K37" s="392"/>
      <c r="L37" s="247">
        <f t="shared" si="14"/>
        <v>0</v>
      </c>
      <c r="M37" s="393"/>
      <c r="N37" s="246">
        <f t="shared" si="15"/>
        <v>0</v>
      </c>
      <c r="O37" s="247">
        <f t="shared" si="16"/>
        <v>0</v>
      </c>
      <c r="P37" s="247">
        <f t="shared" si="17"/>
        <v>0</v>
      </c>
      <c r="Q37" s="240">
        <f t="shared" si="18"/>
        <v>0</v>
      </c>
      <c r="R37" s="251">
        <f t="shared" si="19"/>
        <v>0</v>
      </c>
      <c r="S37" s="251" t="str">
        <f t="shared" si="20"/>
        <v/>
      </c>
      <c r="T37" s="407"/>
    </row>
    <row r="38" spans="1:20">
      <c r="A38" s="243">
        <f t="shared" si="1"/>
        <v>28</v>
      </c>
      <c r="B38" s="396"/>
      <c r="C38" s="396" t="s">
        <v>181</v>
      </c>
      <c r="D38" s="394"/>
      <c r="E38" s="397"/>
      <c r="F38" s="246">
        <f>'Annual Budget '!G38</f>
        <v>0</v>
      </c>
      <c r="G38" s="392"/>
      <c r="H38" s="247">
        <f t="shared" si="11"/>
        <v>0</v>
      </c>
      <c r="I38" s="393"/>
      <c r="J38" s="246">
        <f>'Annual Budget '!I38</f>
        <v>0</v>
      </c>
      <c r="K38" s="392"/>
      <c r="L38" s="247">
        <f t="shared" si="14"/>
        <v>0</v>
      </c>
      <c r="M38" s="393"/>
      <c r="N38" s="246">
        <f t="shared" si="15"/>
        <v>0</v>
      </c>
      <c r="O38" s="247">
        <f t="shared" si="16"/>
        <v>0</v>
      </c>
      <c r="P38" s="247">
        <f t="shared" si="17"/>
        <v>0</v>
      </c>
      <c r="Q38" s="240">
        <f t="shared" si="18"/>
        <v>0</v>
      </c>
      <c r="R38" s="251">
        <f t="shared" si="19"/>
        <v>0</v>
      </c>
      <c r="S38" s="251" t="str">
        <f t="shared" si="20"/>
        <v/>
      </c>
      <c r="T38" s="407"/>
    </row>
    <row r="39" spans="1:20" ht="18" customHeight="1">
      <c r="A39" s="256">
        <f t="shared" si="1"/>
        <v>29</v>
      </c>
      <c r="B39" s="257" t="s">
        <v>51</v>
      </c>
      <c r="C39" s="257"/>
      <c r="D39" s="258"/>
      <c r="E39" s="259"/>
      <c r="F39" s="260">
        <f t="shared" ref="F39:Q39" si="21">SUM(F26:F38)</f>
        <v>1344316.2326921532</v>
      </c>
      <c r="G39" s="261">
        <f t="shared" si="21"/>
        <v>0</v>
      </c>
      <c r="H39" s="261">
        <f t="shared" si="21"/>
        <v>1344316.2326921532</v>
      </c>
      <c r="I39" s="262">
        <f t="shared" si="21"/>
        <v>0</v>
      </c>
      <c r="J39" s="260">
        <f t="shared" si="21"/>
        <v>22389.705882352941</v>
      </c>
      <c r="K39" s="261">
        <f t="shared" si="21"/>
        <v>0</v>
      </c>
      <c r="L39" s="261">
        <f t="shared" si="21"/>
        <v>22389.705882352941</v>
      </c>
      <c r="M39" s="262">
        <f t="shared" si="21"/>
        <v>0</v>
      </c>
      <c r="N39" s="260">
        <f t="shared" si="21"/>
        <v>1366705.9385745062</v>
      </c>
      <c r="O39" s="261">
        <f t="shared" si="21"/>
        <v>0</v>
      </c>
      <c r="P39" s="261">
        <f t="shared" si="21"/>
        <v>1366705.9385745062</v>
      </c>
      <c r="Q39" s="262">
        <f t="shared" si="21"/>
        <v>0</v>
      </c>
      <c r="R39" s="263">
        <f t="shared" si="19"/>
        <v>0.27776235851618347</v>
      </c>
      <c r="S39" s="263">
        <f t="shared" si="20"/>
        <v>0</v>
      </c>
      <c r="T39" s="408"/>
    </row>
    <row r="40" spans="1:20" ht="16" thickBot="1">
      <c r="A40" s="218">
        <f t="shared" si="1"/>
        <v>30</v>
      </c>
      <c r="B40" s="185"/>
      <c r="C40" s="185"/>
      <c r="D40" s="186"/>
      <c r="E40" s="187"/>
      <c r="F40" s="221"/>
      <c r="G40" s="224"/>
      <c r="H40" s="224"/>
      <c r="I40" s="186"/>
      <c r="J40" s="221"/>
      <c r="K40" s="224"/>
      <c r="L40" s="224"/>
      <c r="M40" s="186"/>
      <c r="N40" s="221"/>
      <c r="O40" s="224"/>
      <c r="P40" s="224"/>
      <c r="Q40" s="186"/>
      <c r="R40" s="188"/>
      <c r="S40" s="188"/>
      <c r="T40" s="411"/>
    </row>
    <row r="41" spans="1:20" ht="18" customHeight="1" thickTop="1">
      <c r="A41" s="268">
        <f t="shared" si="1"/>
        <v>31</v>
      </c>
      <c r="B41" s="269" t="s">
        <v>52</v>
      </c>
      <c r="C41" s="269"/>
      <c r="D41" s="270"/>
      <c r="E41" s="271"/>
      <c r="F41" s="272"/>
      <c r="G41" s="273"/>
      <c r="H41" s="273"/>
      <c r="I41" s="274"/>
      <c r="J41" s="272"/>
      <c r="K41" s="273"/>
      <c r="L41" s="273"/>
      <c r="M41" s="274"/>
      <c r="N41" s="272"/>
      <c r="O41" s="273"/>
      <c r="P41" s="273"/>
      <c r="Q41" s="274"/>
      <c r="R41" s="275"/>
      <c r="S41" s="275"/>
      <c r="T41" s="412"/>
    </row>
    <row r="42" spans="1:20">
      <c r="A42" s="243">
        <f t="shared" si="1"/>
        <v>32</v>
      </c>
      <c r="B42" s="244"/>
      <c r="C42" s="244" t="s">
        <v>53</v>
      </c>
      <c r="D42" s="231"/>
      <c r="E42" s="266"/>
      <c r="F42" s="238"/>
      <c r="G42" s="239"/>
      <c r="H42" s="239"/>
      <c r="I42" s="241"/>
      <c r="J42" s="238"/>
      <c r="K42" s="239"/>
      <c r="L42" s="239"/>
      <c r="M42" s="241"/>
      <c r="N42" s="238"/>
      <c r="O42" s="239"/>
      <c r="P42" s="239"/>
      <c r="Q42" s="241"/>
      <c r="R42" s="251"/>
      <c r="S42" s="251"/>
      <c r="T42" s="413"/>
    </row>
    <row r="43" spans="1:20">
      <c r="A43" s="243">
        <f t="shared" si="1"/>
        <v>33</v>
      </c>
      <c r="B43" s="244"/>
      <c r="C43" s="244"/>
      <c r="D43" s="231" t="s">
        <v>110</v>
      </c>
      <c r="E43" s="245">
        <v>4110</v>
      </c>
      <c r="F43" s="246">
        <f>'Annual Budget '!G43</f>
        <v>0</v>
      </c>
      <c r="G43" s="392"/>
      <c r="H43" s="247">
        <f t="shared" ref="H43:H79" si="22">SUM(F43:G43)</f>
        <v>0</v>
      </c>
      <c r="I43" s="393"/>
      <c r="J43" s="253"/>
      <c r="K43" s="254"/>
      <c r="L43" s="254"/>
      <c r="M43" s="255"/>
      <c r="N43" s="246">
        <f t="shared" ref="N43:N44" si="23">F43+J43</f>
        <v>0</v>
      </c>
      <c r="O43" s="247">
        <f t="shared" ref="O43:O44" si="24">K43+G43</f>
        <v>0</v>
      </c>
      <c r="P43" s="247">
        <f t="shared" ref="P43:P44" si="25">SUM(N43:O43)</f>
        <v>0</v>
      </c>
      <c r="Q43" s="240">
        <f t="shared" ref="Q43:Q44" si="26">M43+I43</f>
        <v>0</v>
      </c>
      <c r="R43" s="251">
        <f>P43/$P$85</f>
        <v>0</v>
      </c>
      <c r="S43" s="251" t="str">
        <f t="shared" ref="S43:S44" si="27">IFERROR(Q43/P43,"")</f>
        <v/>
      </c>
      <c r="T43" s="407"/>
    </row>
    <row r="44" spans="1:20">
      <c r="A44" s="243">
        <f t="shared" si="1"/>
        <v>34</v>
      </c>
      <c r="B44" s="244"/>
      <c r="C44" s="244"/>
      <c r="D44" s="231" t="s">
        <v>120</v>
      </c>
      <c r="E44" s="245">
        <v>4190</v>
      </c>
      <c r="F44" s="246">
        <f>'Annual Budget '!G44</f>
        <v>0</v>
      </c>
      <c r="G44" s="392"/>
      <c r="H44" s="247">
        <f t="shared" si="22"/>
        <v>0</v>
      </c>
      <c r="I44" s="393"/>
      <c r="J44" s="246">
        <f>'Annual Budget '!I44</f>
        <v>0</v>
      </c>
      <c r="K44" s="392"/>
      <c r="L44" s="247">
        <f t="shared" ref="L44" si="28">SUM(J44:K44)</f>
        <v>0</v>
      </c>
      <c r="M44" s="393"/>
      <c r="N44" s="246">
        <f t="shared" si="23"/>
        <v>0</v>
      </c>
      <c r="O44" s="247">
        <f t="shared" si="24"/>
        <v>0</v>
      </c>
      <c r="P44" s="247">
        <f t="shared" si="25"/>
        <v>0</v>
      </c>
      <c r="Q44" s="240">
        <f t="shared" si="26"/>
        <v>0</v>
      </c>
      <c r="R44" s="251">
        <f>P44/$P$85</f>
        <v>0</v>
      </c>
      <c r="S44" s="251" t="str">
        <f t="shared" si="27"/>
        <v/>
      </c>
      <c r="T44" s="407"/>
    </row>
    <row r="45" spans="1:20">
      <c r="A45" s="243">
        <f t="shared" si="1"/>
        <v>35</v>
      </c>
      <c r="B45" s="244"/>
      <c r="C45" s="244" t="s">
        <v>54</v>
      </c>
      <c r="D45" s="231"/>
      <c r="E45" s="237"/>
      <c r="F45" s="249"/>
      <c r="G45" s="250"/>
      <c r="H45" s="250"/>
      <c r="I45" s="240"/>
      <c r="J45" s="249"/>
      <c r="K45" s="250"/>
      <c r="L45" s="250"/>
      <c r="M45" s="240"/>
      <c r="N45" s="249"/>
      <c r="O45" s="250"/>
      <c r="P45" s="250"/>
      <c r="Q45" s="240"/>
      <c r="R45" s="251"/>
      <c r="S45" s="251"/>
      <c r="T45" s="414"/>
    </row>
    <row r="46" spans="1:20">
      <c r="A46" s="243">
        <f t="shared" si="1"/>
        <v>36</v>
      </c>
      <c r="B46" s="244"/>
      <c r="C46" s="244"/>
      <c r="D46" s="231" t="s">
        <v>111</v>
      </c>
      <c r="E46" s="245">
        <v>4330</v>
      </c>
      <c r="F46" s="246">
        <f>'Annual Budget '!G46</f>
        <v>0</v>
      </c>
      <c r="G46" s="392"/>
      <c r="H46" s="247">
        <f t="shared" si="22"/>
        <v>0</v>
      </c>
      <c r="I46" s="393"/>
      <c r="J46" s="246">
        <f>'Annual Budget '!I46</f>
        <v>0</v>
      </c>
      <c r="K46" s="392"/>
      <c r="L46" s="247">
        <f t="shared" ref="L46" si="29">SUM(J46:K46)</f>
        <v>0</v>
      </c>
      <c r="M46" s="393"/>
      <c r="N46" s="246">
        <f t="shared" ref="N46:N47" si="30">F46+J46</f>
        <v>0</v>
      </c>
      <c r="O46" s="247">
        <f t="shared" ref="O46:O47" si="31">K46+G46</f>
        <v>0</v>
      </c>
      <c r="P46" s="247">
        <f t="shared" ref="P46:P47" si="32">SUM(N46:O46)</f>
        <v>0</v>
      </c>
      <c r="Q46" s="240">
        <f t="shared" ref="Q46:Q47" si="33">M46+I46</f>
        <v>0</v>
      </c>
      <c r="R46" s="251">
        <f>P46/$P$85</f>
        <v>0</v>
      </c>
      <c r="S46" s="251" t="str">
        <f t="shared" ref="S46:S48" si="34">IFERROR(Q46/P46,"")</f>
        <v/>
      </c>
      <c r="T46" s="414"/>
    </row>
    <row r="47" spans="1:20">
      <c r="A47" s="243">
        <f t="shared" si="1"/>
        <v>37</v>
      </c>
      <c r="B47" s="244"/>
      <c r="C47" s="244"/>
      <c r="D47" s="231" t="s">
        <v>55</v>
      </c>
      <c r="E47" s="245">
        <v>4390</v>
      </c>
      <c r="F47" s="246">
        <f>'Annual Budget '!G47</f>
        <v>0</v>
      </c>
      <c r="G47" s="392"/>
      <c r="H47" s="247">
        <f t="shared" si="22"/>
        <v>0</v>
      </c>
      <c r="I47" s="393"/>
      <c r="J47" s="253"/>
      <c r="K47" s="254"/>
      <c r="L47" s="254"/>
      <c r="M47" s="255"/>
      <c r="N47" s="246">
        <f t="shared" si="30"/>
        <v>0</v>
      </c>
      <c r="O47" s="247">
        <f t="shared" si="31"/>
        <v>0</v>
      </c>
      <c r="P47" s="247">
        <f t="shared" si="32"/>
        <v>0</v>
      </c>
      <c r="Q47" s="240">
        <f t="shared" si="33"/>
        <v>0</v>
      </c>
      <c r="R47" s="251">
        <f>P47/$P$85</f>
        <v>0</v>
      </c>
      <c r="S47" s="251" t="str">
        <f t="shared" si="34"/>
        <v/>
      </c>
      <c r="T47" s="407"/>
    </row>
    <row r="48" spans="1:20">
      <c r="A48" s="243">
        <f t="shared" si="1"/>
        <v>38</v>
      </c>
      <c r="B48" s="244"/>
      <c r="C48" s="244"/>
      <c r="D48" s="231"/>
      <c r="E48" s="245"/>
      <c r="F48" s="246">
        <f>'Annual Budget '!G48</f>
        <v>0</v>
      </c>
      <c r="G48" s="392"/>
      <c r="H48" s="247">
        <f t="shared" si="22"/>
        <v>0</v>
      </c>
      <c r="I48" s="393"/>
      <c r="J48" s="246">
        <f>'Annual Budget '!I48</f>
        <v>0</v>
      </c>
      <c r="K48" s="392"/>
      <c r="L48" s="247">
        <f t="shared" ref="L48:L51" si="35">SUM(J48:K48)</f>
        <v>0</v>
      </c>
      <c r="M48" s="393"/>
      <c r="N48" s="246">
        <f>F48+J48</f>
        <v>0</v>
      </c>
      <c r="O48" s="247">
        <f>K48+G48</f>
        <v>0</v>
      </c>
      <c r="P48" s="247">
        <f>SUM(N48:O48)</f>
        <v>0</v>
      </c>
      <c r="Q48" s="240">
        <f>M48+I48</f>
        <v>0</v>
      </c>
      <c r="R48" s="251">
        <f>P48/$P$85</f>
        <v>0</v>
      </c>
      <c r="S48" s="251" t="str">
        <f t="shared" si="34"/>
        <v/>
      </c>
      <c r="T48" s="407"/>
    </row>
    <row r="49" spans="1:20">
      <c r="A49" s="243">
        <f t="shared" si="1"/>
        <v>39</v>
      </c>
      <c r="B49" s="244" t="s">
        <v>56</v>
      </c>
      <c r="C49" s="244"/>
      <c r="D49" s="231"/>
      <c r="E49" s="237"/>
      <c r="F49" s="249"/>
      <c r="G49" s="250"/>
      <c r="H49" s="250"/>
      <c r="I49" s="240"/>
      <c r="J49" s="249"/>
      <c r="K49" s="250"/>
      <c r="L49" s="250"/>
      <c r="M49" s="240"/>
      <c r="N49" s="249"/>
      <c r="O49" s="250"/>
      <c r="P49" s="250"/>
      <c r="Q49" s="240"/>
      <c r="R49" s="251"/>
      <c r="S49" s="251"/>
      <c r="T49" s="414"/>
    </row>
    <row r="50" spans="1:20">
      <c r="A50" s="243">
        <f t="shared" si="1"/>
        <v>40</v>
      </c>
      <c r="B50" s="244"/>
      <c r="C50" s="244"/>
      <c r="D50" s="231" t="s">
        <v>112</v>
      </c>
      <c r="E50" s="245">
        <v>4510</v>
      </c>
      <c r="F50" s="249"/>
      <c r="G50" s="250"/>
      <c r="H50" s="250"/>
      <c r="I50" s="240"/>
      <c r="J50" s="246">
        <f>'Annual Budget '!I50</f>
        <v>0</v>
      </c>
      <c r="K50" s="392"/>
      <c r="L50" s="247">
        <f t="shared" si="35"/>
        <v>0</v>
      </c>
      <c r="M50" s="393"/>
      <c r="N50" s="246">
        <f t="shared" ref="N50:N51" si="36">F50+J50</f>
        <v>0</v>
      </c>
      <c r="O50" s="247">
        <f t="shared" ref="O50:O51" si="37">K50+G50</f>
        <v>0</v>
      </c>
      <c r="P50" s="247">
        <f t="shared" ref="P50:P51" si="38">SUM(N50:O50)</f>
        <v>0</v>
      </c>
      <c r="Q50" s="240">
        <f t="shared" ref="Q50:Q51" si="39">M50+I50</f>
        <v>0</v>
      </c>
      <c r="R50" s="251">
        <f>P50/$P$85</f>
        <v>0</v>
      </c>
      <c r="S50" s="251" t="str">
        <f t="shared" ref="S50:S51" si="40">IFERROR(Q50/P50,"")</f>
        <v/>
      </c>
      <c r="T50" s="407"/>
    </row>
    <row r="51" spans="1:20">
      <c r="A51" s="243">
        <f t="shared" si="1"/>
        <v>41</v>
      </c>
      <c r="B51" s="244"/>
      <c r="C51" s="244"/>
      <c r="D51" s="231" t="s">
        <v>3</v>
      </c>
      <c r="E51" s="245">
        <v>4515</v>
      </c>
      <c r="F51" s="249"/>
      <c r="G51" s="250"/>
      <c r="H51" s="250"/>
      <c r="I51" s="240"/>
      <c r="J51" s="246">
        <f>'Annual Budget '!I51</f>
        <v>250155.56926413145</v>
      </c>
      <c r="K51" s="392"/>
      <c r="L51" s="247">
        <f t="shared" si="35"/>
        <v>250155.56926413145</v>
      </c>
      <c r="M51" s="393"/>
      <c r="N51" s="246">
        <f t="shared" si="36"/>
        <v>250155.56926413145</v>
      </c>
      <c r="O51" s="247">
        <f t="shared" si="37"/>
        <v>0</v>
      </c>
      <c r="P51" s="247">
        <f t="shared" si="38"/>
        <v>250155.56926413145</v>
      </c>
      <c r="Q51" s="240">
        <f t="shared" si="39"/>
        <v>0</v>
      </c>
      <c r="R51" s="251">
        <f>P51/$P$85</f>
        <v>5.0840344622513495E-2</v>
      </c>
      <c r="S51" s="251">
        <f t="shared" si="40"/>
        <v>0</v>
      </c>
      <c r="T51" s="407"/>
    </row>
    <row r="52" spans="1:20">
      <c r="A52" s="243">
        <f t="shared" si="1"/>
        <v>42</v>
      </c>
      <c r="B52" s="244"/>
      <c r="C52" s="244"/>
      <c r="D52" s="231" t="s">
        <v>4</v>
      </c>
      <c r="E52" s="237"/>
      <c r="F52" s="249"/>
      <c r="G52" s="250"/>
      <c r="H52" s="250"/>
      <c r="I52" s="240"/>
      <c r="J52" s="249"/>
      <c r="K52" s="250"/>
      <c r="L52" s="250"/>
      <c r="M52" s="240"/>
      <c r="N52" s="249"/>
      <c r="O52" s="250"/>
      <c r="P52" s="250"/>
      <c r="Q52" s="240"/>
      <c r="R52" s="251"/>
      <c r="S52" s="251"/>
      <c r="T52" s="414"/>
    </row>
    <row r="53" spans="1:20">
      <c r="A53" s="243">
        <f t="shared" si="1"/>
        <v>43</v>
      </c>
      <c r="B53" s="244"/>
      <c r="C53" s="244"/>
      <c r="D53" s="231" t="s">
        <v>57</v>
      </c>
      <c r="E53" s="245" t="s">
        <v>58</v>
      </c>
      <c r="F53" s="249"/>
      <c r="G53" s="250"/>
      <c r="H53" s="250"/>
      <c r="I53" s="240"/>
      <c r="J53" s="246">
        <f>'Annual Budget '!I53</f>
        <v>51007</v>
      </c>
      <c r="K53" s="392"/>
      <c r="L53" s="247">
        <f t="shared" ref="L53:L56" si="41">SUM(J53:K53)</f>
        <v>51007</v>
      </c>
      <c r="M53" s="393"/>
      <c r="N53" s="246">
        <f t="shared" ref="N53:N56" si="42">F53+J53</f>
        <v>51007</v>
      </c>
      <c r="O53" s="247">
        <f t="shared" ref="O53:O56" si="43">K53+G53</f>
        <v>0</v>
      </c>
      <c r="P53" s="247">
        <f t="shared" ref="P53:P56" si="44">SUM(N53:O53)</f>
        <v>51007</v>
      </c>
      <c r="Q53" s="240">
        <f t="shared" ref="Q53:Q56" si="45">M53+I53</f>
        <v>0</v>
      </c>
      <c r="R53" s="251">
        <f>P53/$P$85</f>
        <v>1.0366403057860577E-2</v>
      </c>
      <c r="S53" s="251">
        <f t="shared" ref="S53:S56" si="46">IFERROR(Q53/P53,"")</f>
        <v>0</v>
      </c>
      <c r="T53" s="407"/>
    </row>
    <row r="54" spans="1:20">
      <c r="A54" s="243">
        <f t="shared" si="1"/>
        <v>44</v>
      </c>
      <c r="B54" s="244"/>
      <c r="C54" s="244"/>
      <c r="D54" s="231" t="s">
        <v>59</v>
      </c>
      <c r="E54" s="245" t="s">
        <v>60</v>
      </c>
      <c r="F54" s="249"/>
      <c r="G54" s="250"/>
      <c r="H54" s="250"/>
      <c r="I54" s="240"/>
      <c r="J54" s="246">
        <f>'Annual Budget '!I54</f>
        <v>3000</v>
      </c>
      <c r="K54" s="392"/>
      <c r="L54" s="247">
        <f t="shared" si="41"/>
        <v>3000</v>
      </c>
      <c r="M54" s="393"/>
      <c r="N54" s="246">
        <f t="shared" si="42"/>
        <v>3000</v>
      </c>
      <c r="O54" s="247">
        <f t="shared" si="43"/>
        <v>0</v>
      </c>
      <c r="P54" s="247">
        <f t="shared" si="44"/>
        <v>3000</v>
      </c>
      <c r="Q54" s="240">
        <f t="shared" si="45"/>
        <v>0</v>
      </c>
      <c r="R54" s="251">
        <f>P54/$P$85</f>
        <v>6.0970473020529985E-4</v>
      </c>
      <c r="S54" s="251">
        <f t="shared" si="46"/>
        <v>0</v>
      </c>
      <c r="T54" s="407"/>
    </row>
    <row r="55" spans="1:20">
      <c r="A55" s="243">
        <f t="shared" si="1"/>
        <v>45</v>
      </c>
      <c r="B55" s="244"/>
      <c r="C55" s="244"/>
      <c r="D55" s="231" t="s">
        <v>140</v>
      </c>
      <c r="E55" s="245">
        <v>4535</v>
      </c>
      <c r="F55" s="249"/>
      <c r="G55" s="250"/>
      <c r="H55" s="250"/>
      <c r="I55" s="240"/>
      <c r="J55" s="246">
        <f>'Annual Budget '!I55</f>
        <v>0</v>
      </c>
      <c r="K55" s="392"/>
      <c r="L55" s="247">
        <f t="shared" si="41"/>
        <v>0</v>
      </c>
      <c r="M55" s="393"/>
      <c r="N55" s="246">
        <f t="shared" si="42"/>
        <v>0</v>
      </c>
      <c r="O55" s="247">
        <f t="shared" si="43"/>
        <v>0</v>
      </c>
      <c r="P55" s="247">
        <f t="shared" si="44"/>
        <v>0</v>
      </c>
      <c r="Q55" s="240">
        <f t="shared" si="45"/>
        <v>0</v>
      </c>
      <c r="R55" s="251">
        <f>P55/$P$85</f>
        <v>0</v>
      </c>
      <c r="S55" s="251" t="str">
        <f t="shared" si="46"/>
        <v/>
      </c>
      <c r="T55" s="407"/>
    </row>
    <row r="56" spans="1:20">
      <c r="A56" s="243">
        <f t="shared" si="1"/>
        <v>46</v>
      </c>
      <c r="B56" s="244"/>
      <c r="C56" s="244"/>
      <c r="D56" s="231" t="s">
        <v>61</v>
      </c>
      <c r="E56" s="245" t="s">
        <v>62</v>
      </c>
      <c r="F56" s="249"/>
      <c r="G56" s="250"/>
      <c r="H56" s="250"/>
      <c r="I56" s="240"/>
      <c r="J56" s="246">
        <f>'Annual Budget '!I56</f>
        <v>0</v>
      </c>
      <c r="K56" s="392"/>
      <c r="L56" s="247">
        <f t="shared" si="41"/>
        <v>0</v>
      </c>
      <c r="M56" s="393"/>
      <c r="N56" s="246">
        <f t="shared" si="42"/>
        <v>0</v>
      </c>
      <c r="O56" s="247">
        <f t="shared" si="43"/>
        <v>0</v>
      </c>
      <c r="P56" s="247">
        <f t="shared" si="44"/>
        <v>0</v>
      </c>
      <c r="Q56" s="240">
        <f t="shared" si="45"/>
        <v>0</v>
      </c>
      <c r="R56" s="251">
        <f>P56/$P$85</f>
        <v>0</v>
      </c>
      <c r="S56" s="251" t="str">
        <f t="shared" si="46"/>
        <v/>
      </c>
      <c r="T56" s="407"/>
    </row>
    <row r="57" spans="1:20">
      <c r="A57" s="243">
        <f t="shared" si="1"/>
        <v>47</v>
      </c>
      <c r="B57" s="244"/>
      <c r="C57" s="244"/>
      <c r="D57" s="231" t="s">
        <v>138</v>
      </c>
      <c r="E57" s="237"/>
      <c r="F57" s="249"/>
      <c r="G57" s="250"/>
      <c r="H57" s="250"/>
      <c r="I57" s="240"/>
      <c r="J57" s="249"/>
      <c r="K57" s="250"/>
      <c r="L57" s="250"/>
      <c r="M57" s="240"/>
      <c r="N57" s="249"/>
      <c r="O57" s="250"/>
      <c r="P57" s="250"/>
      <c r="Q57" s="240"/>
      <c r="R57" s="251"/>
      <c r="S57" s="251"/>
      <c r="T57" s="414"/>
    </row>
    <row r="58" spans="1:20">
      <c r="A58" s="243">
        <f t="shared" si="1"/>
        <v>48</v>
      </c>
      <c r="B58" s="244"/>
      <c r="C58" s="244"/>
      <c r="D58" s="231" t="s">
        <v>135</v>
      </c>
      <c r="E58" s="245" t="s">
        <v>63</v>
      </c>
      <c r="F58" s="249"/>
      <c r="G58" s="250"/>
      <c r="H58" s="250"/>
      <c r="I58" s="240"/>
      <c r="J58" s="246">
        <f>'Annual Budget '!I58</f>
        <v>650000</v>
      </c>
      <c r="K58" s="392"/>
      <c r="L58" s="247">
        <f t="shared" ref="L58:L79" si="47">SUM(J58:K58)</f>
        <v>650000</v>
      </c>
      <c r="M58" s="393"/>
      <c r="N58" s="246">
        <f t="shared" ref="N58:N79" si="48">F58+J58</f>
        <v>650000</v>
      </c>
      <c r="O58" s="247">
        <f t="shared" ref="O58:O79" si="49">K58+G58</f>
        <v>0</v>
      </c>
      <c r="P58" s="247">
        <f t="shared" ref="P58:P79" si="50">SUM(N58:O58)</f>
        <v>650000</v>
      </c>
      <c r="Q58" s="240">
        <f t="shared" ref="Q58:Q79" si="51">M58+I58</f>
        <v>0</v>
      </c>
      <c r="R58" s="251">
        <f t="shared" ref="R58:R65" si="52">P58/$P$85</f>
        <v>0.13210269154448165</v>
      </c>
      <c r="S58" s="251">
        <f t="shared" ref="S58:S65" si="53">IFERROR(Q58/P58,"")</f>
        <v>0</v>
      </c>
      <c r="T58" s="407"/>
    </row>
    <row r="59" spans="1:20">
      <c r="A59" s="243">
        <f t="shared" si="1"/>
        <v>49</v>
      </c>
      <c r="B59" s="244"/>
      <c r="C59" s="244"/>
      <c r="D59" s="231" t="s">
        <v>136</v>
      </c>
      <c r="E59" s="245">
        <v>4550</v>
      </c>
      <c r="F59" s="249"/>
      <c r="G59" s="250"/>
      <c r="H59" s="250"/>
      <c r="I59" s="240"/>
      <c r="J59" s="246">
        <f>'Annual Budget '!I59</f>
        <v>0</v>
      </c>
      <c r="K59" s="392"/>
      <c r="L59" s="247">
        <f t="shared" si="47"/>
        <v>0</v>
      </c>
      <c r="M59" s="393"/>
      <c r="N59" s="246">
        <f t="shared" si="48"/>
        <v>0</v>
      </c>
      <c r="O59" s="247">
        <f t="shared" si="49"/>
        <v>0</v>
      </c>
      <c r="P59" s="247">
        <f t="shared" si="50"/>
        <v>0</v>
      </c>
      <c r="Q59" s="240">
        <f t="shared" si="51"/>
        <v>0</v>
      </c>
      <c r="R59" s="251">
        <f t="shared" si="52"/>
        <v>0</v>
      </c>
      <c r="S59" s="251" t="str">
        <f t="shared" si="53"/>
        <v/>
      </c>
      <c r="T59" s="407"/>
    </row>
    <row r="60" spans="1:20">
      <c r="A60" s="243">
        <f t="shared" si="1"/>
        <v>50</v>
      </c>
      <c r="B60" s="244"/>
      <c r="C60" s="244"/>
      <c r="D60" s="231" t="s">
        <v>64</v>
      </c>
      <c r="E60" s="245" t="s">
        <v>65</v>
      </c>
      <c r="F60" s="249"/>
      <c r="G60" s="250"/>
      <c r="H60" s="250"/>
      <c r="I60" s="240"/>
      <c r="J60" s="246">
        <f>'Annual Budget '!I60</f>
        <v>0</v>
      </c>
      <c r="K60" s="392"/>
      <c r="L60" s="247">
        <f t="shared" si="47"/>
        <v>0</v>
      </c>
      <c r="M60" s="393"/>
      <c r="N60" s="246">
        <f t="shared" si="48"/>
        <v>0</v>
      </c>
      <c r="O60" s="247">
        <f t="shared" si="49"/>
        <v>0</v>
      </c>
      <c r="P60" s="247">
        <f t="shared" si="50"/>
        <v>0</v>
      </c>
      <c r="Q60" s="240">
        <f t="shared" si="51"/>
        <v>0</v>
      </c>
      <c r="R60" s="251">
        <f t="shared" si="52"/>
        <v>0</v>
      </c>
      <c r="S60" s="251" t="str">
        <f t="shared" si="53"/>
        <v/>
      </c>
      <c r="T60" s="407"/>
    </row>
    <row r="61" spans="1:20">
      <c r="A61" s="243">
        <f t="shared" si="1"/>
        <v>51</v>
      </c>
      <c r="B61" s="244"/>
      <c r="C61" s="244"/>
      <c r="D61" s="231" t="s">
        <v>142</v>
      </c>
      <c r="E61" s="245" t="s">
        <v>66</v>
      </c>
      <c r="F61" s="249"/>
      <c r="G61" s="250"/>
      <c r="H61" s="250"/>
      <c r="I61" s="240"/>
      <c r="J61" s="246">
        <f>'Annual Budget '!I61</f>
        <v>29006</v>
      </c>
      <c r="K61" s="392"/>
      <c r="L61" s="247">
        <f t="shared" si="47"/>
        <v>29006</v>
      </c>
      <c r="M61" s="393"/>
      <c r="N61" s="246">
        <f t="shared" si="48"/>
        <v>29006</v>
      </c>
      <c r="O61" s="247">
        <f t="shared" si="49"/>
        <v>0</v>
      </c>
      <c r="P61" s="247">
        <f t="shared" si="50"/>
        <v>29006</v>
      </c>
      <c r="Q61" s="240">
        <f t="shared" si="51"/>
        <v>0</v>
      </c>
      <c r="R61" s="251">
        <f t="shared" si="52"/>
        <v>5.8950318014449766E-3</v>
      </c>
      <c r="S61" s="251">
        <f t="shared" si="53"/>
        <v>0</v>
      </c>
      <c r="T61" s="407"/>
    </row>
    <row r="62" spans="1:20">
      <c r="A62" s="243">
        <f t="shared" si="1"/>
        <v>52</v>
      </c>
      <c r="B62" s="244"/>
      <c r="C62" s="244"/>
      <c r="D62" s="231" t="s">
        <v>151</v>
      </c>
      <c r="E62" s="245" t="s">
        <v>67</v>
      </c>
      <c r="F62" s="249"/>
      <c r="G62" s="250"/>
      <c r="H62" s="250"/>
      <c r="I62" s="240"/>
      <c r="J62" s="246">
        <f>'Annual Budget '!I62</f>
        <v>16072</v>
      </c>
      <c r="K62" s="392"/>
      <c r="L62" s="247">
        <f t="shared" si="47"/>
        <v>16072</v>
      </c>
      <c r="M62" s="393"/>
      <c r="N62" s="246">
        <f t="shared" si="48"/>
        <v>16072</v>
      </c>
      <c r="O62" s="247">
        <f t="shared" si="49"/>
        <v>0</v>
      </c>
      <c r="P62" s="247">
        <f t="shared" si="50"/>
        <v>16072</v>
      </c>
      <c r="Q62" s="240">
        <f t="shared" si="51"/>
        <v>0</v>
      </c>
      <c r="R62" s="251">
        <f t="shared" si="52"/>
        <v>3.2663914746198599E-3</v>
      </c>
      <c r="S62" s="251">
        <f t="shared" si="53"/>
        <v>0</v>
      </c>
      <c r="T62" s="407"/>
    </row>
    <row r="63" spans="1:20">
      <c r="A63" s="243">
        <f t="shared" si="1"/>
        <v>53</v>
      </c>
      <c r="B63" s="244"/>
      <c r="C63" s="244"/>
      <c r="D63" s="231" t="s">
        <v>143</v>
      </c>
      <c r="E63" s="245">
        <v>4559</v>
      </c>
      <c r="F63" s="249"/>
      <c r="G63" s="250"/>
      <c r="H63" s="250"/>
      <c r="I63" s="240"/>
      <c r="J63" s="246">
        <f>'Annual Budget '!I63</f>
        <v>0</v>
      </c>
      <c r="K63" s="392"/>
      <c r="L63" s="247">
        <f t="shared" si="47"/>
        <v>0</v>
      </c>
      <c r="M63" s="393"/>
      <c r="N63" s="246">
        <f t="shared" si="48"/>
        <v>0</v>
      </c>
      <c r="O63" s="247">
        <f t="shared" si="49"/>
        <v>0</v>
      </c>
      <c r="P63" s="247">
        <f t="shared" si="50"/>
        <v>0</v>
      </c>
      <c r="Q63" s="240">
        <f t="shared" si="51"/>
        <v>0</v>
      </c>
      <c r="R63" s="251">
        <f t="shared" si="52"/>
        <v>0</v>
      </c>
      <c r="S63" s="251" t="str">
        <f t="shared" si="53"/>
        <v/>
      </c>
      <c r="T63" s="407"/>
    </row>
    <row r="64" spans="1:20">
      <c r="A64" s="243">
        <f t="shared" si="1"/>
        <v>54</v>
      </c>
      <c r="B64" s="244"/>
      <c r="C64" s="244"/>
      <c r="D64" s="231" t="s">
        <v>152</v>
      </c>
      <c r="E64" s="245">
        <v>4553</v>
      </c>
      <c r="F64" s="249"/>
      <c r="G64" s="250"/>
      <c r="H64" s="250"/>
      <c r="I64" s="240"/>
      <c r="J64" s="246">
        <f>'Annual Budget '!I64</f>
        <v>0</v>
      </c>
      <c r="K64" s="392"/>
      <c r="L64" s="247">
        <f t="shared" si="47"/>
        <v>0</v>
      </c>
      <c r="M64" s="393"/>
      <c r="N64" s="246">
        <f t="shared" si="48"/>
        <v>0</v>
      </c>
      <c r="O64" s="247">
        <f t="shared" si="49"/>
        <v>0</v>
      </c>
      <c r="P64" s="247">
        <f t="shared" si="50"/>
        <v>0</v>
      </c>
      <c r="Q64" s="240">
        <f t="shared" si="51"/>
        <v>0</v>
      </c>
      <c r="R64" s="251">
        <f t="shared" si="52"/>
        <v>0</v>
      </c>
      <c r="S64" s="251" t="str">
        <f t="shared" si="53"/>
        <v/>
      </c>
      <c r="T64" s="407"/>
    </row>
    <row r="65" spans="1:20">
      <c r="A65" s="243">
        <f t="shared" si="1"/>
        <v>55</v>
      </c>
      <c r="B65" s="244"/>
      <c r="C65" s="244"/>
      <c r="D65" s="231" t="s">
        <v>141</v>
      </c>
      <c r="E65" s="245">
        <v>4559</v>
      </c>
      <c r="F65" s="249"/>
      <c r="G65" s="250"/>
      <c r="H65" s="250"/>
      <c r="I65" s="240"/>
      <c r="J65" s="246">
        <f>'Annual Budget '!I65</f>
        <v>0</v>
      </c>
      <c r="K65" s="392"/>
      <c r="L65" s="247">
        <f t="shared" si="47"/>
        <v>0</v>
      </c>
      <c r="M65" s="393"/>
      <c r="N65" s="246">
        <f t="shared" si="48"/>
        <v>0</v>
      </c>
      <c r="O65" s="247">
        <f t="shared" si="49"/>
        <v>0</v>
      </c>
      <c r="P65" s="247">
        <f t="shared" si="50"/>
        <v>0</v>
      </c>
      <c r="Q65" s="240">
        <f t="shared" si="51"/>
        <v>0</v>
      </c>
      <c r="R65" s="251">
        <f t="shared" si="52"/>
        <v>0</v>
      </c>
      <c r="S65" s="251" t="str">
        <f t="shared" si="53"/>
        <v/>
      </c>
      <c r="T65" s="407"/>
    </row>
    <row r="66" spans="1:20">
      <c r="A66" s="243">
        <f t="shared" si="1"/>
        <v>56</v>
      </c>
      <c r="B66" s="244"/>
      <c r="C66" s="244"/>
      <c r="D66" s="231" t="s">
        <v>189</v>
      </c>
      <c r="E66" s="245"/>
      <c r="F66" s="249"/>
      <c r="G66" s="250"/>
      <c r="H66" s="250"/>
      <c r="I66" s="240"/>
      <c r="J66" s="249"/>
      <c r="K66" s="250"/>
      <c r="L66" s="250"/>
      <c r="M66" s="240"/>
      <c r="N66" s="249"/>
      <c r="O66" s="250"/>
      <c r="P66" s="250"/>
      <c r="Q66" s="240"/>
      <c r="R66" s="251"/>
      <c r="S66" s="251"/>
      <c r="T66" s="414"/>
    </row>
    <row r="67" spans="1:20">
      <c r="A67" s="243">
        <f t="shared" si="1"/>
        <v>57</v>
      </c>
      <c r="B67" s="244"/>
      <c r="C67" s="244"/>
      <c r="D67" s="231" t="s">
        <v>153</v>
      </c>
      <c r="E67" s="245">
        <v>4590</v>
      </c>
      <c r="F67" s="249"/>
      <c r="G67" s="250"/>
      <c r="H67" s="250"/>
      <c r="I67" s="240"/>
      <c r="J67" s="246">
        <f>'Annual Budget '!I67</f>
        <v>0</v>
      </c>
      <c r="K67" s="392"/>
      <c r="L67" s="247">
        <f t="shared" si="47"/>
        <v>0</v>
      </c>
      <c r="M67" s="393"/>
      <c r="N67" s="246">
        <f t="shared" si="48"/>
        <v>0</v>
      </c>
      <c r="O67" s="247">
        <f t="shared" si="49"/>
        <v>0</v>
      </c>
      <c r="P67" s="247">
        <f t="shared" si="50"/>
        <v>0</v>
      </c>
      <c r="Q67" s="240">
        <f t="shared" si="51"/>
        <v>0</v>
      </c>
      <c r="R67" s="251">
        <f t="shared" ref="R67:R80" si="54">P67/$P$85</f>
        <v>0</v>
      </c>
      <c r="S67" s="251" t="str">
        <f t="shared" ref="S67:S79" si="55">IFERROR(Q67/P67,"")</f>
        <v/>
      </c>
      <c r="T67" s="407"/>
    </row>
    <row r="68" spans="1:20">
      <c r="A68" s="243">
        <f t="shared" si="1"/>
        <v>58</v>
      </c>
      <c r="B68" s="244"/>
      <c r="C68" s="244"/>
      <c r="D68" s="231" t="s">
        <v>154</v>
      </c>
      <c r="E68" s="245">
        <v>4590</v>
      </c>
      <c r="F68" s="249"/>
      <c r="G68" s="250"/>
      <c r="H68" s="250"/>
      <c r="I68" s="240"/>
      <c r="J68" s="246">
        <f>'Annual Budget '!I68</f>
        <v>0</v>
      </c>
      <c r="K68" s="392"/>
      <c r="L68" s="247">
        <f t="shared" si="47"/>
        <v>0</v>
      </c>
      <c r="M68" s="393"/>
      <c r="N68" s="246">
        <f t="shared" si="48"/>
        <v>0</v>
      </c>
      <c r="O68" s="247">
        <f t="shared" si="49"/>
        <v>0</v>
      </c>
      <c r="P68" s="247">
        <f t="shared" si="50"/>
        <v>0</v>
      </c>
      <c r="Q68" s="240">
        <f t="shared" si="51"/>
        <v>0</v>
      </c>
      <c r="R68" s="251">
        <f t="shared" si="54"/>
        <v>0</v>
      </c>
      <c r="S68" s="251" t="str">
        <f t="shared" si="55"/>
        <v/>
      </c>
      <c r="T68" s="407"/>
    </row>
    <row r="69" spans="1:20">
      <c r="A69" s="243">
        <f t="shared" si="1"/>
        <v>59</v>
      </c>
      <c r="B69" s="244"/>
      <c r="C69" s="244"/>
      <c r="D69" s="231" t="s">
        <v>155</v>
      </c>
      <c r="E69" s="245">
        <v>4590</v>
      </c>
      <c r="F69" s="249"/>
      <c r="G69" s="250"/>
      <c r="H69" s="250"/>
      <c r="I69" s="240"/>
      <c r="J69" s="246">
        <f>'Annual Budget '!I69</f>
        <v>0</v>
      </c>
      <c r="K69" s="392"/>
      <c r="L69" s="247">
        <f t="shared" si="47"/>
        <v>0</v>
      </c>
      <c r="M69" s="393"/>
      <c r="N69" s="246">
        <f t="shared" si="48"/>
        <v>0</v>
      </c>
      <c r="O69" s="247">
        <f t="shared" si="49"/>
        <v>0</v>
      </c>
      <c r="P69" s="247">
        <f t="shared" si="50"/>
        <v>0</v>
      </c>
      <c r="Q69" s="240">
        <f t="shared" si="51"/>
        <v>0</v>
      </c>
      <c r="R69" s="251">
        <f t="shared" si="54"/>
        <v>0</v>
      </c>
      <c r="S69" s="251" t="str">
        <f t="shared" si="55"/>
        <v/>
      </c>
      <c r="T69" s="407"/>
    </row>
    <row r="70" spans="1:20">
      <c r="A70" s="243">
        <f t="shared" si="1"/>
        <v>60</v>
      </c>
      <c r="B70" s="244"/>
      <c r="C70" s="244"/>
      <c r="D70" s="231" t="s">
        <v>156</v>
      </c>
      <c r="E70" s="245">
        <v>4590</v>
      </c>
      <c r="F70" s="249"/>
      <c r="G70" s="250"/>
      <c r="H70" s="250"/>
      <c r="I70" s="240"/>
      <c r="J70" s="246">
        <f>'Annual Budget '!I70</f>
        <v>600000</v>
      </c>
      <c r="K70" s="392"/>
      <c r="L70" s="247">
        <f t="shared" si="47"/>
        <v>600000</v>
      </c>
      <c r="M70" s="393"/>
      <c r="N70" s="246">
        <f t="shared" si="48"/>
        <v>600000</v>
      </c>
      <c r="O70" s="247">
        <f t="shared" si="49"/>
        <v>0</v>
      </c>
      <c r="P70" s="247">
        <f t="shared" si="50"/>
        <v>600000</v>
      </c>
      <c r="Q70" s="240">
        <f t="shared" si="51"/>
        <v>0</v>
      </c>
      <c r="R70" s="251">
        <f t="shared" si="54"/>
        <v>0.12194094604105998</v>
      </c>
      <c r="S70" s="251">
        <f t="shared" si="55"/>
        <v>0</v>
      </c>
      <c r="T70" s="407"/>
    </row>
    <row r="71" spans="1:20">
      <c r="A71" s="243">
        <f t="shared" si="1"/>
        <v>61</v>
      </c>
      <c r="B71" s="244"/>
      <c r="C71" s="244"/>
      <c r="D71" s="231" t="s">
        <v>157</v>
      </c>
      <c r="E71" s="245">
        <v>4590</v>
      </c>
      <c r="F71" s="249"/>
      <c r="G71" s="250"/>
      <c r="H71" s="250"/>
      <c r="I71" s="240"/>
      <c r="J71" s="246">
        <f>'Annual Budget '!I71</f>
        <v>0</v>
      </c>
      <c r="K71" s="392"/>
      <c r="L71" s="247">
        <f t="shared" si="47"/>
        <v>0</v>
      </c>
      <c r="M71" s="393"/>
      <c r="N71" s="246">
        <f t="shared" si="48"/>
        <v>0</v>
      </c>
      <c r="O71" s="247">
        <f t="shared" si="49"/>
        <v>0</v>
      </c>
      <c r="P71" s="247">
        <f t="shared" si="50"/>
        <v>0</v>
      </c>
      <c r="Q71" s="240">
        <f t="shared" si="51"/>
        <v>0</v>
      </c>
      <c r="R71" s="251">
        <f t="shared" si="54"/>
        <v>0</v>
      </c>
      <c r="S71" s="251" t="str">
        <f t="shared" si="55"/>
        <v/>
      </c>
      <c r="T71" s="407"/>
    </row>
    <row r="72" spans="1:20">
      <c r="A72" s="243">
        <f t="shared" si="1"/>
        <v>62</v>
      </c>
      <c r="B72" s="244"/>
      <c r="C72" s="244"/>
      <c r="D72" s="231" t="s">
        <v>211</v>
      </c>
      <c r="E72" s="245">
        <v>4590</v>
      </c>
      <c r="F72" s="249"/>
      <c r="G72" s="250"/>
      <c r="H72" s="250"/>
      <c r="I72" s="240"/>
      <c r="J72" s="246">
        <f>'Annual Budget '!I72</f>
        <v>0</v>
      </c>
      <c r="K72" s="392"/>
      <c r="L72" s="247">
        <f t="shared" si="47"/>
        <v>0</v>
      </c>
      <c r="M72" s="393"/>
      <c r="N72" s="246">
        <f t="shared" si="48"/>
        <v>0</v>
      </c>
      <c r="O72" s="247">
        <f t="shared" si="49"/>
        <v>0</v>
      </c>
      <c r="P72" s="247">
        <f t="shared" si="50"/>
        <v>0</v>
      </c>
      <c r="Q72" s="240">
        <f t="shared" si="51"/>
        <v>0</v>
      </c>
      <c r="R72" s="251">
        <f t="shared" si="54"/>
        <v>0</v>
      </c>
      <c r="S72" s="251" t="str">
        <f t="shared" si="55"/>
        <v/>
      </c>
      <c r="T72" s="407"/>
    </row>
    <row r="73" spans="1:20">
      <c r="A73" s="243">
        <f t="shared" si="1"/>
        <v>63</v>
      </c>
      <c r="B73" s="244"/>
      <c r="C73" s="244"/>
      <c r="D73" s="231" t="s">
        <v>113</v>
      </c>
      <c r="E73" s="245">
        <v>4580</v>
      </c>
      <c r="F73" s="249"/>
      <c r="G73" s="250"/>
      <c r="H73" s="250"/>
      <c r="I73" s="240"/>
      <c r="J73" s="246">
        <f>'Annual Budget '!I73</f>
        <v>0</v>
      </c>
      <c r="K73" s="392"/>
      <c r="L73" s="247">
        <f t="shared" si="47"/>
        <v>0</v>
      </c>
      <c r="M73" s="393"/>
      <c r="N73" s="246">
        <f t="shared" si="48"/>
        <v>0</v>
      </c>
      <c r="O73" s="247">
        <f t="shared" si="49"/>
        <v>0</v>
      </c>
      <c r="P73" s="247">
        <f t="shared" si="50"/>
        <v>0</v>
      </c>
      <c r="Q73" s="240">
        <f t="shared" si="51"/>
        <v>0</v>
      </c>
      <c r="R73" s="251">
        <f t="shared" si="54"/>
        <v>0</v>
      </c>
      <c r="S73" s="251" t="str">
        <f t="shared" si="55"/>
        <v/>
      </c>
      <c r="T73" s="407"/>
    </row>
    <row r="74" spans="1:20">
      <c r="A74" s="243">
        <f t="shared" si="1"/>
        <v>64</v>
      </c>
      <c r="B74" s="244"/>
      <c r="C74" s="244"/>
      <c r="D74" s="231" t="s">
        <v>190</v>
      </c>
      <c r="E74" s="245" t="s">
        <v>68</v>
      </c>
      <c r="F74" s="249"/>
      <c r="G74" s="250"/>
      <c r="H74" s="250"/>
      <c r="I74" s="240"/>
      <c r="J74" s="246">
        <f>'Annual Budget '!I74</f>
        <v>0</v>
      </c>
      <c r="K74" s="392"/>
      <c r="L74" s="247">
        <f t="shared" si="47"/>
        <v>0</v>
      </c>
      <c r="M74" s="393"/>
      <c r="N74" s="246">
        <f t="shared" si="48"/>
        <v>0</v>
      </c>
      <c r="O74" s="247">
        <f t="shared" si="49"/>
        <v>0</v>
      </c>
      <c r="P74" s="247">
        <f t="shared" si="50"/>
        <v>0</v>
      </c>
      <c r="Q74" s="240">
        <f t="shared" si="51"/>
        <v>0</v>
      </c>
      <c r="R74" s="251">
        <f t="shared" si="54"/>
        <v>0</v>
      </c>
      <c r="S74" s="251" t="str">
        <f t="shared" si="55"/>
        <v/>
      </c>
      <c r="T74" s="407"/>
    </row>
    <row r="75" spans="1:20">
      <c r="A75" s="243">
        <f t="shared" si="1"/>
        <v>65</v>
      </c>
      <c r="B75" s="244"/>
      <c r="C75" s="244"/>
      <c r="D75" s="231" t="s">
        <v>139</v>
      </c>
      <c r="E75" s="245">
        <v>4590</v>
      </c>
      <c r="F75" s="249"/>
      <c r="G75" s="250"/>
      <c r="H75" s="250"/>
      <c r="I75" s="240"/>
      <c r="J75" s="246">
        <f>'Annual Budget '!I75</f>
        <v>0</v>
      </c>
      <c r="K75" s="392"/>
      <c r="L75" s="247">
        <f t="shared" si="47"/>
        <v>0</v>
      </c>
      <c r="M75" s="393"/>
      <c r="N75" s="246">
        <f t="shared" si="48"/>
        <v>0</v>
      </c>
      <c r="O75" s="247">
        <f t="shared" si="49"/>
        <v>0</v>
      </c>
      <c r="P75" s="247">
        <f t="shared" si="50"/>
        <v>0</v>
      </c>
      <c r="Q75" s="240">
        <f t="shared" si="51"/>
        <v>0</v>
      </c>
      <c r="R75" s="251">
        <f t="shared" si="54"/>
        <v>0</v>
      </c>
      <c r="S75" s="251" t="str">
        <f t="shared" si="55"/>
        <v/>
      </c>
      <c r="T75" s="407"/>
    </row>
    <row r="76" spans="1:20">
      <c r="A76" s="243">
        <f t="shared" si="1"/>
        <v>66</v>
      </c>
      <c r="B76" s="396"/>
      <c r="C76" s="396" t="s">
        <v>181</v>
      </c>
      <c r="D76" s="394"/>
      <c r="E76" s="395"/>
      <c r="F76" s="246">
        <f>'Annual Budget '!G76</f>
        <v>0</v>
      </c>
      <c r="G76" s="392"/>
      <c r="H76" s="247">
        <f t="shared" si="22"/>
        <v>0</v>
      </c>
      <c r="I76" s="393"/>
      <c r="J76" s="246">
        <f>'Annual Budget '!I76</f>
        <v>0</v>
      </c>
      <c r="K76" s="392"/>
      <c r="L76" s="247">
        <f t="shared" si="47"/>
        <v>0</v>
      </c>
      <c r="M76" s="393"/>
      <c r="N76" s="246">
        <f t="shared" si="48"/>
        <v>0</v>
      </c>
      <c r="O76" s="247">
        <f t="shared" si="49"/>
        <v>0</v>
      </c>
      <c r="P76" s="247">
        <f t="shared" si="50"/>
        <v>0</v>
      </c>
      <c r="Q76" s="240">
        <f t="shared" si="51"/>
        <v>0</v>
      </c>
      <c r="R76" s="251">
        <f t="shared" si="54"/>
        <v>0</v>
      </c>
      <c r="S76" s="251" t="str">
        <f t="shared" si="55"/>
        <v/>
      </c>
      <c r="T76" s="407"/>
    </row>
    <row r="77" spans="1:20">
      <c r="A77" s="243">
        <f t="shared" si="1"/>
        <v>67</v>
      </c>
      <c r="B77" s="396"/>
      <c r="C77" s="396" t="s">
        <v>181</v>
      </c>
      <c r="D77" s="394"/>
      <c r="E77" s="395"/>
      <c r="F77" s="246">
        <f>'Annual Budget '!G77</f>
        <v>0</v>
      </c>
      <c r="G77" s="392"/>
      <c r="H77" s="247">
        <f t="shared" si="22"/>
        <v>0</v>
      </c>
      <c r="I77" s="393"/>
      <c r="J77" s="246">
        <f>'Annual Budget '!I77</f>
        <v>0</v>
      </c>
      <c r="K77" s="392"/>
      <c r="L77" s="247">
        <f t="shared" si="47"/>
        <v>0</v>
      </c>
      <c r="M77" s="393"/>
      <c r="N77" s="246">
        <f t="shared" si="48"/>
        <v>0</v>
      </c>
      <c r="O77" s="247">
        <f t="shared" si="49"/>
        <v>0</v>
      </c>
      <c r="P77" s="247">
        <f t="shared" si="50"/>
        <v>0</v>
      </c>
      <c r="Q77" s="240">
        <f t="shared" si="51"/>
        <v>0</v>
      </c>
      <c r="R77" s="251">
        <f t="shared" si="54"/>
        <v>0</v>
      </c>
      <c r="S77" s="251" t="str">
        <f t="shared" si="55"/>
        <v/>
      </c>
      <c r="T77" s="407"/>
    </row>
    <row r="78" spans="1:20" ht="14.25" customHeight="1">
      <c r="A78" s="243">
        <f t="shared" ref="A78:A141" si="56">A77+1</f>
        <v>68</v>
      </c>
      <c r="B78" s="396"/>
      <c r="C78" s="396" t="s">
        <v>181</v>
      </c>
      <c r="D78" s="394"/>
      <c r="E78" s="395"/>
      <c r="F78" s="246">
        <f>'Annual Budget '!G78</f>
        <v>0</v>
      </c>
      <c r="G78" s="392"/>
      <c r="H78" s="247">
        <f t="shared" si="22"/>
        <v>0</v>
      </c>
      <c r="I78" s="393"/>
      <c r="J78" s="246">
        <f>'Annual Budget '!I78</f>
        <v>0</v>
      </c>
      <c r="K78" s="392"/>
      <c r="L78" s="247">
        <f t="shared" si="47"/>
        <v>0</v>
      </c>
      <c r="M78" s="393"/>
      <c r="N78" s="246">
        <f t="shared" si="48"/>
        <v>0</v>
      </c>
      <c r="O78" s="247">
        <f t="shared" si="49"/>
        <v>0</v>
      </c>
      <c r="P78" s="247">
        <f t="shared" si="50"/>
        <v>0</v>
      </c>
      <c r="Q78" s="240">
        <f t="shared" si="51"/>
        <v>0</v>
      </c>
      <c r="R78" s="251">
        <f t="shared" si="54"/>
        <v>0</v>
      </c>
      <c r="S78" s="251" t="str">
        <f t="shared" si="55"/>
        <v/>
      </c>
      <c r="T78" s="407"/>
    </row>
    <row r="79" spans="1:20" ht="14.25" customHeight="1">
      <c r="A79" s="243">
        <f t="shared" si="56"/>
        <v>69</v>
      </c>
      <c r="B79" s="396"/>
      <c r="C79" s="396" t="s">
        <v>181</v>
      </c>
      <c r="D79" s="394"/>
      <c r="E79" s="397"/>
      <c r="F79" s="246">
        <f>'Annual Budget '!G79</f>
        <v>0</v>
      </c>
      <c r="G79" s="392"/>
      <c r="H79" s="247">
        <f t="shared" si="22"/>
        <v>0</v>
      </c>
      <c r="I79" s="393"/>
      <c r="J79" s="246">
        <f>'Annual Budget '!I79</f>
        <v>0</v>
      </c>
      <c r="K79" s="392"/>
      <c r="L79" s="247">
        <f t="shared" si="47"/>
        <v>0</v>
      </c>
      <c r="M79" s="393"/>
      <c r="N79" s="246">
        <f t="shared" si="48"/>
        <v>0</v>
      </c>
      <c r="O79" s="247">
        <f t="shared" si="49"/>
        <v>0</v>
      </c>
      <c r="P79" s="247">
        <f t="shared" si="50"/>
        <v>0</v>
      </c>
      <c r="Q79" s="240">
        <f t="shared" si="51"/>
        <v>0</v>
      </c>
      <c r="R79" s="251">
        <f t="shared" si="54"/>
        <v>0</v>
      </c>
      <c r="S79" s="251" t="str">
        <f t="shared" si="55"/>
        <v/>
      </c>
      <c r="T79" s="407"/>
    </row>
    <row r="80" spans="1:20">
      <c r="A80" s="256">
        <f t="shared" si="56"/>
        <v>70</v>
      </c>
      <c r="B80" s="257" t="s">
        <v>69</v>
      </c>
      <c r="C80" s="257"/>
      <c r="D80" s="258"/>
      <c r="E80" s="259"/>
      <c r="F80" s="260">
        <f>SUM(F43:F79)</f>
        <v>0</v>
      </c>
      <c r="G80" s="261">
        <f t="shared" ref="G80:Q80" si="57">SUM(G43:G79)</f>
        <v>0</v>
      </c>
      <c r="H80" s="261">
        <f t="shared" si="57"/>
        <v>0</v>
      </c>
      <c r="I80" s="262">
        <f t="shared" si="57"/>
        <v>0</v>
      </c>
      <c r="J80" s="260">
        <f t="shared" si="57"/>
        <v>1599240.5692641316</v>
      </c>
      <c r="K80" s="261">
        <f t="shared" si="57"/>
        <v>0</v>
      </c>
      <c r="L80" s="261">
        <f t="shared" si="57"/>
        <v>1599240.5692641316</v>
      </c>
      <c r="M80" s="262">
        <f t="shared" si="57"/>
        <v>0</v>
      </c>
      <c r="N80" s="260">
        <f t="shared" si="57"/>
        <v>1599240.5692641316</v>
      </c>
      <c r="O80" s="261">
        <f t="shared" si="57"/>
        <v>0</v>
      </c>
      <c r="P80" s="261">
        <f t="shared" si="57"/>
        <v>1599240.5692641316</v>
      </c>
      <c r="Q80" s="262">
        <f t="shared" si="57"/>
        <v>0</v>
      </c>
      <c r="R80" s="263">
        <f t="shared" si="54"/>
        <v>0.32502151327218587</v>
      </c>
      <c r="S80" s="263">
        <f>IFERROR(Q80/P80,"")</f>
        <v>0</v>
      </c>
      <c r="T80" s="408"/>
    </row>
    <row r="81" spans="1:20" ht="18" customHeight="1">
      <c r="A81" s="243">
        <f t="shared" si="56"/>
        <v>71</v>
      </c>
      <c r="B81" s="244"/>
      <c r="C81" s="244"/>
      <c r="D81" s="231"/>
      <c r="E81" s="266"/>
      <c r="F81" s="249"/>
      <c r="G81" s="250"/>
      <c r="H81" s="250"/>
      <c r="I81" s="240"/>
      <c r="J81" s="249"/>
      <c r="K81" s="250"/>
      <c r="L81" s="250"/>
      <c r="M81" s="240"/>
      <c r="N81" s="249"/>
      <c r="O81" s="250"/>
      <c r="P81" s="250"/>
      <c r="Q81" s="240"/>
      <c r="R81" s="251"/>
      <c r="S81" s="251"/>
      <c r="T81" s="414"/>
    </row>
    <row r="82" spans="1:20">
      <c r="A82" s="256">
        <f t="shared" si="56"/>
        <v>72</v>
      </c>
      <c r="B82" s="257" t="s">
        <v>192</v>
      </c>
      <c r="C82" s="257"/>
      <c r="D82" s="258"/>
      <c r="E82" s="266"/>
      <c r="F82" s="249"/>
      <c r="G82" s="250"/>
      <c r="H82" s="250"/>
      <c r="I82" s="240"/>
      <c r="J82" s="249"/>
      <c r="K82" s="250"/>
      <c r="L82" s="250"/>
      <c r="M82" s="240"/>
      <c r="N82" s="249"/>
      <c r="O82" s="250"/>
      <c r="P82" s="250"/>
      <c r="Q82" s="240"/>
      <c r="R82" s="251"/>
      <c r="S82" s="251"/>
      <c r="T82" s="414"/>
    </row>
    <row r="83" spans="1:20" ht="18" customHeight="1">
      <c r="A83" s="243">
        <f t="shared" si="56"/>
        <v>73</v>
      </c>
      <c r="B83" s="396"/>
      <c r="C83" s="396"/>
      <c r="D83" s="394"/>
      <c r="E83" s="395"/>
      <c r="F83" s="246">
        <f>'Annual Budget '!G83</f>
        <v>0</v>
      </c>
      <c r="G83" s="392"/>
      <c r="H83" s="247">
        <f t="shared" ref="H83:H84" si="58">SUM(F83:G83)</f>
        <v>0</v>
      </c>
      <c r="I83" s="393"/>
      <c r="J83" s="246">
        <f>'Annual Budget '!I83</f>
        <v>0</v>
      </c>
      <c r="K83" s="392"/>
      <c r="L83" s="247">
        <f t="shared" ref="L83:L84" si="59">SUM(J83:K83)</f>
        <v>0</v>
      </c>
      <c r="M83" s="393"/>
      <c r="N83" s="246">
        <f t="shared" ref="N83:N84" si="60">F83+J83</f>
        <v>0</v>
      </c>
      <c r="O83" s="247">
        <f t="shared" ref="O83:O84" si="61">K83+G83</f>
        <v>0</v>
      </c>
      <c r="P83" s="247">
        <f t="shared" ref="P83:P84" si="62">SUM(N83:O83)</f>
        <v>0</v>
      </c>
      <c r="Q83" s="240">
        <f t="shared" ref="Q83:Q84" si="63">M83+I83</f>
        <v>0</v>
      </c>
      <c r="R83" s="251">
        <f t="shared" ref="R83:R85" si="64">P83/$P$85</f>
        <v>0</v>
      </c>
      <c r="S83" s="251" t="str">
        <f t="shared" ref="S83:S85" si="65">IFERROR(Q83/P83,"")</f>
        <v/>
      </c>
      <c r="T83" s="407"/>
    </row>
    <row r="84" spans="1:20">
      <c r="A84" s="243">
        <f t="shared" si="56"/>
        <v>74</v>
      </c>
      <c r="B84" s="396"/>
      <c r="C84" s="396"/>
      <c r="D84" s="394"/>
      <c r="E84" s="397"/>
      <c r="F84" s="246">
        <f>'Annual Budget '!G84</f>
        <v>0</v>
      </c>
      <c r="G84" s="392"/>
      <c r="H84" s="247">
        <f t="shared" si="58"/>
        <v>0</v>
      </c>
      <c r="I84" s="393"/>
      <c r="J84" s="246">
        <f>'Annual Budget '!I84</f>
        <v>0</v>
      </c>
      <c r="K84" s="392"/>
      <c r="L84" s="247">
        <f t="shared" si="59"/>
        <v>0</v>
      </c>
      <c r="M84" s="393"/>
      <c r="N84" s="246">
        <f t="shared" si="60"/>
        <v>0</v>
      </c>
      <c r="O84" s="247">
        <f t="shared" si="61"/>
        <v>0</v>
      </c>
      <c r="P84" s="247">
        <f t="shared" si="62"/>
        <v>0</v>
      </c>
      <c r="Q84" s="240">
        <f t="shared" si="63"/>
        <v>0</v>
      </c>
      <c r="R84" s="251">
        <f t="shared" si="64"/>
        <v>0</v>
      </c>
      <c r="S84" s="251" t="str">
        <f t="shared" si="65"/>
        <v/>
      </c>
      <c r="T84" s="407"/>
    </row>
    <row r="85" spans="1:20" ht="16" thickBot="1">
      <c r="A85" s="219">
        <f t="shared" si="56"/>
        <v>75</v>
      </c>
      <c r="B85" s="189" t="s">
        <v>74</v>
      </c>
      <c r="C85" s="189"/>
      <c r="D85" s="190"/>
      <c r="E85" s="191"/>
      <c r="F85" s="222">
        <f t="shared" ref="F85:Q85" si="66">F22+F39+F80+F83+F84</f>
        <v>3298784.2326921532</v>
      </c>
      <c r="G85" s="225">
        <f t="shared" si="66"/>
        <v>0</v>
      </c>
      <c r="H85" s="225">
        <f t="shared" si="66"/>
        <v>3298784.2326921532</v>
      </c>
      <c r="I85" s="193">
        <f t="shared" si="66"/>
        <v>0</v>
      </c>
      <c r="J85" s="222">
        <f t="shared" si="66"/>
        <v>1621630.2751464846</v>
      </c>
      <c r="K85" s="225">
        <f t="shared" si="66"/>
        <v>0</v>
      </c>
      <c r="L85" s="225">
        <f t="shared" si="66"/>
        <v>1621630.2751464846</v>
      </c>
      <c r="M85" s="193">
        <f t="shared" si="66"/>
        <v>0</v>
      </c>
      <c r="N85" s="222">
        <f t="shared" si="66"/>
        <v>4920414.5078386376</v>
      </c>
      <c r="O85" s="225">
        <f t="shared" si="66"/>
        <v>0</v>
      </c>
      <c r="P85" s="225">
        <f t="shared" si="66"/>
        <v>4920414.5078386376</v>
      </c>
      <c r="Q85" s="193">
        <f t="shared" si="66"/>
        <v>0</v>
      </c>
      <c r="R85" s="194">
        <f t="shared" si="64"/>
        <v>1</v>
      </c>
      <c r="S85" s="194">
        <f t="shared" si="65"/>
        <v>0</v>
      </c>
      <c r="T85" s="415"/>
    </row>
    <row r="86" spans="1:20" ht="17.25" customHeight="1" thickTop="1">
      <c r="A86" s="227">
        <f t="shared" si="56"/>
        <v>76</v>
      </c>
      <c r="B86" s="911" t="s">
        <v>92</v>
      </c>
      <c r="C86" s="911"/>
      <c r="D86" s="912"/>
      <c r="E86" s="228"/>
      <c r="F86" s="276"/>
      <c r="G86" s="277"/>
      <c r="H86" s="277"/>
      <c r="I86" s="278"/>
      <c r="J86" s="276"/>
      <c r="K86" s="277"/>
      <c r="L86" s="277"/>
      <c r="M86" s="279"/>
      <c r="N86" s="276"/>
      <c r="O86" s="277"/>
      <c r="P86" s="277"/>
      <c r="Q86" s="280"/>
      <c r="R86" s="281"/>
      <c r="S86" s="281"/>
      <c r="T86" s="416"/>
    </row>
    <row r="87" spans="1:20" ht="22.5" customHeight="1">
      <c r="A87" s="234">
        <f t="shared" si="56"/>
        <v>77</v>
      </c>
      <c r="B87" s="235"/>
      <c r="C87" s="235"/>
      <c r="D87" s="236" t="s">
        <v>75</v>
      </c>
      <c r="E87" s="282"/>
      <c r="F87" s="283"/>
      <c r="G87" s="284"/>
      <c r="H87" s="284"/>
      <c r="I87" s="236"/>
      <c r="J87" s="283"/>
      <c r="K87" s="284"/>
      <c r="L87" s="284"/>
      <c r="M87" s="285"/>
      <c r="N87" s="283"/>
      <c r="O87" s="284"/>
      <c r="P87" s="284"/>
      <c r="Q87" s="286"/>
      <c r="R87" s="251"/>
      <c r="S87" s="251"/>
      <c r="T87" s="414"/>
    </row>
    <row r="88" spans="1:20" ht="17.25" customHeight="1">
      <c r="A88" s="243">
        <f t="shared" si="56"/>
        <v>78</v>
      </c>
      <c r="B88" s="287"/>
      <c r="C88" s="288" t="s">
        <v>30</v>
      </c>
      <c r="D88" s="231"/>
      <c r="E88" s="282"/>
      <c r="F88" s="283"/>
      <c r="G88" s="284"/>
      <c r="H88" s="284"/>
      <c r="I88" s="236"/>
      <c r="J88" s="283"/>
      <c r="K88" s="284"/>
      <c r="L88" s="284"/>
      <c r="M88" s="285"/>
      <c r="N88" s="283"/>
      <c r="O88" s="284"/>
      <c r="P88" s="284"/>
      <c r="Q88" s="289"/>
      <c r="R88" s="251"/>
      <c r="S88" s="251"/>
      <c r="T88" s="414"/>
    </row>
    <row r="89" spans="1:20" ht="15" customHeight="1">
      <c r="A89" s="243">
        <f t="shared" si="56"/>
        <v>79</v>
      </c>
      <c r="B89" s="287"/>
      <c r="C89" s="288"/>
      <c r="D89" s="231" t="s">
        <v>27</v>
      </c>
      <c r="E89" s="245">
        <v>111</v>
      </c>
      <c r="F89" s="290">
        <f>'Annual Budget '!G89</f>
        <v>90125.041200000007</v>
      </c>
      <c r="G89" s="398"/>
      <c r="H89" s="291">
        <f t="shared" ref="H89:H96" si="67">SUM(F89:G89)</f>
        <v>90125.041200000007</v>
      </c>
      <c r="I89" s="393"/>
      <c r="J89" s="290">
        <f>'Annual Budget '!I89</f>
        <v>0</v>
      </c>
      <c r="K89" s="398"/>
      <c r="L89" s="291">
        <f t="shared" ref="L89:L96" si="68">SUM(J89:K89)</f>
        <v>0</v>
      </c>
      <c r="M89" s="399"/>
      <c r="N89" s="290">
        <f t="shared" ref="N89" si="69">F89+J89</f>
        <v>90125.041200000007</v>
      </c>
      <c r="O89" s="291">
        <f t="shared" ref="O89" si="70">K89+G89</f>
        <v>0</v>
      </c>
      <c r="P89" s="291">
        <f t="shared" ref="P89" si="71">SUM(N89:O89)</f>
        <v>90125.041200000007</v>
      </c>
      <c r="Q89" s="289">
        <f t="shared" ref="Q89" si="72">M89+I89</f>
        <v>0</v>
      </c>
      <c r="R89" s="251">
        <f>P89/$P$156</f>
        <v>1.8323080893509529E-2</v>
      </c>
      <c r="S89" s="251">
        <f t="shared" ref="S89:S97" si="73">IFERROR(Q89/P89,"")</f>
        <v>0</v>
      </c>
      <c r="T89" s="407"/>
    </row>
    <row r="90" spans="1:20" ht="15" customHeight="1">
      <c r="A90" s="243">
        <f t="shared" si="56"/>
        <v>80</v>
      </c>
      <c r="B90" s="287"/>
      <c r="C90" s="288"/>
      <c r="D90" s="231" t="s">
        <v>28</v>
      </c>
      <c r="E90" s="245">
        <v>111</v>
      </c>
      <c r="F90" s="290">
        <f>'Annual Budget '!G90</f>
        <v>0</v>
      </c>
      <c r="G90" s="398"/>
      <c r="H90" s="291">
        <f t="shared" si="67"/>
        <v>0</v>
      </c>
      <c r="I90" s="393"/>
      <c r="J90" s="290">
        <f>'Annual Budget '!I90</f>
        <v>0</v>
      </c>
      <c r="K90" s="398"/>
      <c r="L90" s="291">
        <f t="shared" si="68"/>
        <v>0</v>
      </c>
      <c r="M90" s="399"/>
      <c r="N90" s="290">
        <f t="shared" ref="N90:N96" si="74">F90+J90</f>
        <v>0</v>
      </c>
      <c r="O90" s="291">
        <f t="shared" ref="O90:O96" si="75">K90+G90</f>
        <v>0</v>
      </c>
      <c r="P90" s="291">
        <f t="shared" ref="P90:P96" si="76">SUM(N90:O90)</f>
        <v>0</v>
      </c>
      <c r="Q90" s="289">
        <f t="shared" ref="Q90:Q96" si="77">M90+I90</f>
        <v>0</v>
      </c>
      <c r="R90" s="251">
        <f t="shared" ref="R90:R97" si="78">P90/$P$156</f>
        <v>0</v>
      </c>
      <c r="S90" s="251" t="str">
        <f t="shared" si="73"/>
        <v/>
      </c>
      <c r="T90" s="407"/>
    </row>
    <row r="91" spans="1:20" ht="15" customHeight="1">
      <c r="A91" s="243">
        <f t="shared" si="56"/>
        <v>81</v>
      </c>
      <c r="B91" s="287"/>
      <c r="C91" s="288"/>
      <c r="D91" s="231" t="s">
        <v>196</v>
      </c>
      <c r="E91" s="245">
        <v>111</v>
      </c>
      <c r="F91" s="290">
        <f>'Annual Budget '!G91</f>
        <v>385310.34529999999</v>
      </c>
      <c r="G91" s="398"/>
      <c r="H91" s="291">
        <f t="shared" si="67"/>
        <v>385310.34529999999</v>
      </c>
      <c r="I91" s="393"/>
      <c r="J91" s="290">
        <f>'Annual Budget '!I91</f>
        <v>279400</v>
      </c>
      <c r="K91" s="398"/>
      <c r="L91" s="291">
        <f t="shared" si="68"/>
        <v>279400</v>
      </c>
      <c r="M91" s="399"/>
      <c r="N91" s="290">
        <f t="shared" si="74"/>
        <v>664710.34529999993</v>
      </c>
      <c r="O91" s="291">
        <f t="shared" si="75"/>
        <v>0</v>
      </c>
      <c r="P91" s="291">
        <f t="shared" si="76"/>
        <v>664710.34529999993</v>
      </c>
      <c r="Q91" s="289">
        <f t="shared" si="77"/>
        <v>0</v>
      </c>
      <c r="R91" s="251">
        <f t="shared" si="78"/>
        <v>0.13514048110842417</v>
      </c>
      <c r="S91" s="251">
        <f t="shared" si="73"/>
        <v>0</v>
      </c>
      <c r="T91" s="407"/>
    </row>
    <row r="92" spans="1:20" ht="15" customHeight="1">
      <c r="A92" s="243">
        <f t="shared" si="56"/>
        <v>82</v>
      </c>
      <c r="B92" s="287"/>
      <c r="C92" s="244" t="s">
        <v>5</v>
      </c>
      <c r="D92" s="231"/>
      <c r="E92" s="245">
        <v>112</v>
      </c>
      <c r="F92" s="290">
        <f>'Annual Budget '!G92</f>
        <v>187848</v>
      </c>
      <c r="G92" s="398"/>
      <c r="H92" s="291">
        <f t="shared" si="67"/>
        <v>187848</v>
      </c>
      <c r="I92" s="393"/>
      <c r="J92" s="290">
        <f>'Annual Budget '!I92</f>
        <v>1000000</v>
      </c>
      <c r="K92" s="398"/>
      <c r="L92" s="291">
        <f t="shared" si="68"/>
        <v>1000000</v>
      </c>
      <c r="M92" s="399"/>
      <c r="N92" s="290">
        <f t="shared" si="74"/>
        <v>1187848</v>
      </c>
      <c r="O92" s="291">
        <f t="shared" si="75"/>
        <v>0</v>
      </c>
      <c r="P92" s="291">
        <f t="shared" si="76"/>
        <v>1187848</v>
      </c>
      <c r="Q92" s="289">
        <f t="shared" si="77"/>
        <v>0</v>
      </c>
      <c r="R92" s="251">
        <f t="shared" si="78"/>
        <v>0.24149819743098774</v>
      </c>
      <c r="S92" s="251">
        <f t="shared" si="73"/>
        <v>0</v>
      </c>
      <c r="T92" s="407"/>
    </row>
    <row r="93" spans="1:20" ht="15" customHeight="1">
      <c r="A93" s="243">
        <f t="shared" si="56"/>
        <v>83</v>
      </c>
      <c r="B93" s="244"/>
      <c r="C93" s="244" t="s">
        <v>29</v>
      </c>
      <c r="D93" s="231"/>
      <c r="E93" s="245">
        <v>113</v>
      </c>
      <c r="F93" s="290">
        <f>'Annual Budget '!G93</f>
        <v>0</v>
      </c>
      <c r="G93" s="398"/>
      <c r="H93" s="291">
        <f t="shared" si="67"/>
        <v>0</v>
      </c>
      <c r="I93" s="393"/>
      <c r="J93" s="290">
        <f>'Annual Budget '!I93</f>
        <v>57936</v>
      </c>
      <c r="K93" s="398"/>
      <c r="L93" s="291">
        <f t="shared" si="68"/>
        <v>57936</v>
      </c>
      <c r="M93" s="399"/>
      <c r="N93" s="290">
        <f t="shared" si="74"/>
        <v>57936</v>
      </c>
      <c r="O93" s="291">
        <f t="shared" si="75"/>
        <v>0</v>
      </c>
      <c r="P93" s="291">
        <f t="shared" si="76"/>
        <v>57936</v>
      </c>
      <c r="Q93" s="289">
        <f t="shared" si="77"/>
        <v>0</v>
      </c>
      <c r="R93" s="251">
        <f t="shared" si="78"/>
        <v>1.177881308581713E-2</v>
      </c>
      <c r="S93" s="251">
        <f t="shared" si="73"/>
        <v>0</v>
      </c>
      <c r="T93" s="407"/>
    </row>
    <row r="94" spans="1:20" ht="15" customHeight="1">
      <c r="A94" s="243">
        <f t="shared" si="56"/>
        <v>84</v>
      </c>
      <c r="B94" s="244"/>
      <c r="C94" s="244" t="s">
        <v>31</v>
      </c>
      <c r="D94" s="231"/>
      <c r="E94" s="245">
        <v>114</v>
      </c>
      <c r="F94" s="290">
        <f>'Annual Budget '!G94</f>
        <v>81800</v>
      </c>
      <c r="G94" s="398"/>
      <c r="H94" s="291">
        <f t="shared" si="67"/>
        <v>81800</v>
      </c>
      <c r="I94" s="393"/>
      <c r="J94" s="290">
        <f>'Annual Budget '!I94</f>
        <v>0</v>
      </c>
      <c r="K94" s="398"/>
      <c r="L94" s="291">
        <f t="shared" si="68"/>
        <v>0</v>
      </c>
      <c r="M94" s="399"/>
      <c r="N94" s="290">
        <f t="shared" si="74"/>
        <v>81800</v>
      </c>
      <c r="O94" s="291">
        <f t="shared" si="75"/>
        <v>0</v>
      </c>
      <c r="P94" s="291">
        <f t="shared" si="76"/>
        <v>81800</v>
      </c>
      <c r="Q94" s="289">
        <f t="shared" si="77"/>
        <v>0</v>
      </c>
      <c r="R94" s="251">
        <f t="shared" si="78"/>
        <v>1.6630539050328661E-2</v>
      </c>
      <c r="S94" s="251">
        <f t="shared" si="73"/>
        <v>0</v>
      </c>
      <c r="T94" s="407"/>
    </row>
    <row r="95" spans="1:20" ht="15" customHeight="1">
      <c r="A95" s="243">
        <f t="shared" si="56"/>
        <v>85</v>
      </c>
      <c r="B95" s="244"/>
      <c r="C95" s="244" t="s">
        <v>34</v>
      </c>
      <c r="D95" s="231"/>
      <c r="E95" s="245">
        <v>116</v>
      </c>
      <c r="F95" s="290">
        <f>'Annual Budget '!G95</f>
        <v>118300</v>
      </c>
      <c r="G95" s="398"/>
      <c r="H95" s="291">
        <f t="shared" si="67"/>
        <v>118300</v>
      </c>
      <c r="I95" s="393"/>
      <c r="J95" s="290">
        <f>'Annual Budget '!I95</f>
        <v>0</v>
      </c>
      <c r="K95" s="398"/>
      <c r="L95" s="291">
        <f t="shared" si="68"/>
        <v>0</v>
      </c>
      <c r="M95" s="399"/>
      <c r="N95" s="290">
        <f t="shared" si="74"/>
        <v>118300</v>
      </c>
      <c r="O95" s="291">
        <f t="shared" si="75"/>
        <v>0</v>
      </c>
      <c r="P95" s="291">
        <f t="shared" si="76"/>
        <v>118300</v>
      </c>
      <c r="Q95" s="289">
        <f t="shared" si="77"/>
        <v>0</v>
      </c>
      <c r="R95" s="251">
        <f t="shared" si="78"/>
        <v>2.4051256352736926E-2</v>
      </c>
      <c r="S95" s="251">
        <f t="shared" si="73"/>
        <v>0</v>
      </c>
      <c r="T95" s="407"/>
    </row>
    <row r="96" spans="1:20" ht="15" customHeight="1">
      <c r="A96" s="243">
        <f t="shared" si="56"/>
        <v>86</v>
      </c>
      <c r="B96" s="244"/>
      <c r="C96" s="288" t="s">
        <v>197</v>
      </c>
      <c r="D96" s="231"/>
      <c r="E96" s="245" t="s">
        <v>95</v>
      </c>
      <c r="F96" s="290">
        <f>'Annual Budget '!G96</f>
        <v>134536</v>
      </c>
      <c r="G96" s="398"/>
      <c r="H96" s="291">
        <f t="shared" si="67"/>
        <v>134536</v>
      </c>
      <c r="I96" s="393"/>
      <c r="J96" s="290">
        <f>'Annual Budget '!I96</f>
        <v>0</v>
      </c>
      <c r="K96" s="398"/>
      <c r="L96" s="291">
        <f t="shared" si="68"/>
        <v>0</v>
      </c>
      <c r="M96" s="399"/>
      <c r="N96" s="290">
        <f t="shared" si="74"/>
        <v>134536</v>
      </c>
      <c r="O96" s="291">
        <f t="shared" si="75"/>
        <v>0</v>
      </c>
      <c r="P96" s="291">
        <f t="shared" si="76"/>
        <v>134536</v>
      </c>
      <c r="Q96" s="289">
        <f t="shared" si="77"/>
        <v>0</v>
      </c>
      <c r="R96" s="251">
        <f t="shared" si="78"/>
        <v>2.7352154054706805E-2</v>
      </c>
      <c r="S96" s="251">
        <f t="shared" si="73"/>
        <v>0</v>
      </c>
      <c r="T96" s="407"/>
    </row>
    <row r="97" spans="1:20" ht="15" customHeight="1">
      <c r="A97" s="256">
        <f t="shared" si="56"/>
        <v>87</v>
      </c>
      <c r="B97" s="257"/>
      <c r="C97" s="257"/>
      <c r="D97" s="292" t="s">
        <v>76</v>
      </c>
      <c r="E97" s="293" t="s">
        <v>6</v>
      </c>
      <c r="F97" s="294">
        <f>SUM(F89:F96)</f>
        <v>997919.38650000002</v>
      </c>
      <c r="G97" s="295">
        <f t="shared" ref="G97:Q97" si="79">SUM(G89:G96)</f>
        <v>0</v>
      </c>
      <c r="H97" s="295">
        <f t="shared" si="79"/>
        <v>997919.38650000002</v>
      </c>
      <c r="I97" s="296">
        <f t="shared" si="79"/>
        <v>0</v>
      </c>
      <c r="J97" s="294">
        <f t="shared" si="79"/>
        <v>1337336</v>
      </c>
      <c r="K97" s="295">
        <f t="shared" si="79"/>
        <v>0</v>
      </c>
      <c r="L97" s="295">
        <f t="shared" si="79"/>
        <v>1337336</v>
      </c>
      <c r="M97" s="296">
        <f t="shared" si="79"/>
        <v>0</v>
      </c>
      <c r="N97" s="294">
        <f t="shared" si="79"/>
        <v>2335255.3865</v>
      </c>
      <c r="O97" s="295">
        <f t="shared" si="79"/>
        <v>0</v>
      </c>
      <c r="P97" s="295">
        <f t="shared" si="79"/>
        <v>2335255.3865</v>
      </c>
      <c r="Q97" s="297">
        <f t="shared" si="79"/>
        <v>0</v>
      </c>
      <c r="R97" s="263">
        <f t="shared" si="78"/>
        <v>0.47477452197651099</v>
      </c>
      <c r="S97" s="263">
        <f t="shared" si="73"/>
        <v>0</v>
      </c>
      <c r="T97" s="408"/>
    </row>
    <row r="98" spans="1:20" ht="17.25" customHeight="1">
      <c r="A98" s="234">
        <f t="shared" si="56"/>
        <v>88</v>
      </c>
      <c r="B98" s="235" t="s">
        <v>77</v>
      </c>
      <c r="C98" s="298"/>
      <c r="D98" s="236"/>
      <c r="E98" s="237"/>
      <c r="F98" s="299"/>
      <c r="G98" s="300"/>
      <c r="H98" s="300"/>
      <c r="I98" s="240"/>
      <c r="J98" s="299"/>
      <c r="K98" s="300"/>
      <c r="L98" s="300"/>
      <c r="M98" s="301"/>
      <c r="N98" s="299"/>
      <c r="O98" s="300"/>
      <c r="P98" s="300"/>
      <c r="Q98" s="289"/>
      <c r="R98" s="251"/>
      <c r="S98" s="251"/>
      <c r="T98" s="414"/>
    </row>
    <row r="99" spans="1:20" ht="17.25" customHeight="1">
      <c r="A99" s="243">
        <f t="shared" si="56"/>
        <v>89</v>
      </c>
      <c r="B99" s="244"/>
      <c r="C99" s="244" t="s">
        <v>32</v>
      </c>
      <c r="D99" s="231"/>
      <c r="E99" s="245">
        <v>210</v>
      </c>
      <c r="F99" s="290">
        <f>'Annual Budget '!G99</f>
        <v>221685.09375</v>
      </c>
      <c r="G99" s="398"/>
      <c r="H99" s="291">
        <f t="shared" ref="H99:H105" si="80">SUM(F99:G99)</f>
        <v>221685.09375</v>
      </c>
      <c r="I99" s="393"/>
      <c r="J99" s="290">
        <f>'Annual Budget '!I99</f>
        <v>0</v>
      </c>
      <c r="K99" s="398"/>
      <c r="L99" s="291">
        <f t="shared" ref="L99:L105" si="81">SUM(J99:K99)</f>
        <v>0</v>
      </c>
      <c r="M99" s="399"/>
      <c r="N99" s="290">
        <f t="shared" ref="N99:N105" si="82">F99+J99</f>
        <v>221685.09375</v>
      </c>
      <c r="O99" s="291">
        <f t="shared" ref="O99:O105" si="83">K99+G99</f>
        <v>0</v>
      </c>
      <c r="P99" s="291">
        <f t="shared" ref="P99:P105" si="84">SUM(N99:O99)</f>
        <v>221685.09375</v>
      </c>
      <c r="Q99" s="289">
        <f t="shared" ref="Q99:Q105" si="85">M99+I99</f>
        <v>0</v>
      </c>
      <c r="R99" s="251">
        <f t="shared" ref="R99:R106" si="86">P99/$P$156</f>
        <v>4.5070203037715709E-2</v>
      </c>
      <c r="S99" s="251">
        <f t="shared" ref="S99:S106" si="87">IFERROR(Q99/P99,"")</f>
        <v>0</v>
      </c>
      <c r="T99" s="407"/>
    </row>
    <row r="100" spans="1:20" ht="15" customHeight="1">
      <c r="A100" s="243">
        <f t="shared" si="56"/>
        <v>90</v>
      </c>
      <c r="B100" s="244"/>
      <c r="C100" s="244" t="s">
        <v>7</v>
      </c>
      <c r="D100" s="231"/>
      <c r="E100" s="245">
        <v>220</v>
      </c>
      <c r="F100" s="290">
        <f>'Annual Budget '!G100</f>
        <v>144785.83396300001</v>
      </c>
      <c r="G100" s="398"/>
      <c r="H100" s="291">
        <f t="shared" si="80"/>
        <v>144785.83396300001</v>
      </c>
      <c r="I100" s="393"/>
      <c r="J100" s="290">
        <f>'Annual Budget '!I100</f>
        <v>0</v>
      </c>
      <c r="K100" s="398"/>
      <c r="L100" s="291">
        <f t="shared" si="81"/>
        <v>0</v>
      </c>
      <c r="M100" s="399"/>
      <c r="N100" s="290">
        <f t="shared" si="82"/>
        <v>144785.83396300001</v>
      </c>
      <c r="O100" s="291">
        <f t="shared" si="83"/>
        <v>0</v>
      </c>
      <c r="P100" s="291">
        <f t="shared" si="84"/>
        <v>144785.83396300001</v>
      </c>
      <c r="Q100" s="289">
        <f t="shared" si="85"/>
        <v>0</v>
      </c>
      <c r="R100" s="251">
        <f t="shared" si="86"/>
        <v>2.9436020362543683E-2</v>
      </c>
      <c r="S100" s="251">
        <f t="shared" si="87"/>
        <v>0</v>
      </c>
      <c r="T100" s="407"/>
    </row>
    <row r="101" spans="1:20" ht="15" customHeight="1">
      <c r="A101" s="243">
        <f t="shared" si="56"/>
        <v>91</v>
      </c>
      <c r="B101" s="244"/>
      <c r="C101" s="244" t="s">
        <v>23</v>
      </c>
      <c r="D101" s="231"/>
      <c r="E101" s="245">
        <v>225</v>
      </c>
      <c r="F101" s="290">
        <f>'Annual Budget '!G101</f>
        <v>33861.203104249995</v>
      </c>
      <c r="G101" s="398"/>
      <c r="H101" s="291">
        <f t="shared" si="80"/>
        <v>33861.203104249995</v>
      </c>
      <c r="I101" s="393"/>
      <c r="J101" s="290">
        <f>'Annual Budget '!I101</f>
        <v>0</v>
      </c>
      <c r="K101" s="398"/>
      <c r="L101" s="291">
        <f t="shared" si="81"/>
        <v>0</v>
      </c>
      <c r="M101" s="399"/>
      <c r="N101" s="290">
        <f t="shared" si="82"/>
        <v>33861.203104249995</v>
      </c>
      <c r="O101" s="291">
        <f t="shared" si="83"/>
        <v>0</v>
      </c>
      <c r="P101" s="291">
        <f t="shared" si="84"/>
        <v>33861.203104249995</v>
      </c>
      <c r="Q101" s="289">
        <f t="shared" si="85"/>
        <v>0</v>
      </c>
      <c r="R101" s="251">
        <f t="shared" si="86"/>
        <v>6.8842305686594085E-3</v>
      </c>
      <c r="S101" s="251">
        <f t="shared" si="87"/>
        <v>0</v>
      </c>
      <c r="T101" s="407"/>
    </row>
    <row r="102" spans="1:20" ht="15" customHeight="1">
      <c r="A102" s="243">
        <f t="shared" si="56"/>
        <v>92</v>
      </c>
      <c r="B102" s="244"/>
      <c r="C102" s="244" t="s">
        <v>8</v>
      </c>
      <c r="D102" s="231"/>
      <c r="E102" s="245" t="s">
        <v>116</v>
      </c>
      <c r="F102" s="290">
        <f>'Annual Budget '!G102</f>
        <v>46705.107730000003</v>
      </c>
      <c r="G102" s="398"/>
      <c r="H102" s="291">
        <f t="shared" si="80"/>
        <v>46705.107730000003</v>
      </c>
      <c r="I102" s="393"/>
      <c r="J102" s="290">
        <f>'Annual Budget '!I102</f>
        <v>0</v>
      </c>
      <c r="K102" s="398"/>
      <c r="L102" s="291">
        <f t="shared" si="81"/>
        <v>0</v>
      </c>
      <c r="M102" s="399"/>
      <c r="N102" s="290">
        <f t="shared" si="82"/>
        <v>46705.107730000003</v>
      </c>
      <c r="O102" s="291">
        <f t="shared" si="83"/>
        <v>0</v>
      </c>
      <c r="P102" s="291">
        <f t="shared" si="84"/>
        <v>46705.107730000003</v>
      </c>
      <c r="Q102" s="289">
        <f t="shared" si="85"/>
        <v>0</v>
      </c>
      <c r="R102" s="251">
        <f t="shared" si="86"/>
        <v>9.49549043953022E-3</v>
      </c>
      <c r="S102" s="251">
        <f t="shared" si="87"/>
        <v>0</v>
      </c>
      <c r="T102" s="407"/>
    </row>
    <row r="103" spans="1:20" ht="15" customHeight="1">
      <c r="A103" s="305">
        <f t="shared" si="56"/>
        <v>93</v>
      </c>
      <c r="B103" s="306"/>
      <c r="C103" s="306" t="s">
        <v>9</v>
      </c>
      <c r="D103" s="307"/>
      <c r="E103" s="308">
        <v>250</v>
      </c>
      <c r="F103" s="309">
        <f>'Annual Budget '!G103</f>
        <v>23352.553865000002</v>
      </c>
      <c r="G103" s="400"/>
      <c r="H103" s="310">
        <f t="shared" si="80"/>
        <v>23352.553865000002</v>
      </c>
      <c r="I103" s="401"/>
      <c r="J103" s="309">
        <f>'Annual Budget '!I103</f>
        <v>0</v>
      </c>
      <c r="K103" s="400"/>
      <c r="L103" s="310">
        <f t="shared" si="81"/>
        <v>0</v>
      </c>
      <c r="M103" s="402"/>
      <c r="N103" s="309">
        <f t="shared" si="82"/>
        <v>23352.553865000002</v>
      </c>
      <c r="O103" s="310">
        <f t="shared" si="83"/>
        <v>0</v>
      </c>
      <c r="P103" s="310">
        <f t="shared" si="84"/>
        <v>23352.553865000002</v>
      </c>
      <c r="Q103" s="311">
        <f t="shared" si="85"/>
        <v>0</v>
      </c>
      <c r="R103" s="312">
        <f t="shared" si="86"/>
        <v>4.74774521976511E-3</v>
      </c>
      <c r="S103" s="312">
        <f t="shared" si="87"/>
        <v>0</v>
      </c>
      <c r="T103" s="417"/>
    </row>
    <row r="104" spans="1:20" ht="15" customHeight="1">
      <c r="A104" s="243">
        <f t="shared" si="56"/>
        <v>94</v>
      </c>
      <c r="B104" s="244"/>
      <c r="C104" s="288" t="s">
        <v>33</v>
      </c>
      <c r="D104" s="231"/>
      <c r="E104" s="245">
        <v>270</v>
      </c>
      <c r="F104" s="290">
        <f>'Annual Budget '!G104</f>
        <v>0</v>
      </c>
      <c r="G104" s="398"/>
      <c r="H104" s="291">
        <f t="shared" si="80"/>
        <v>0</v>
      </c>
      <c r="I104" s="393"/>
      <c r="J104" s="290">
        <f>'Annual Budget '!I104</f>
        <v>0</v>
      </c>
      <c r="K104" s="398"/>
      <c r="L104" s="291">
        <f t="shared" si="81"/>
        <v>0</v>
      </c>
      <c r="M104" s="399"/>
      <c r="N104" s="290">
        <f t="shared" si="82"/>
        <v>0</v>
      </c>
      <c r="O104" s="291">
        <f t="shared" si="83"/>
        <v>0</v>
      </c>
      <c r="P104" s="291">
        <f t="shared" si="84"/>
        <v>0</v>
      </c>
      <c r="Q104" s="289">
        <f t="shared" si="85"/>
        <v>0</v>
      </c>
      <c r="R104" s="251">
        <f t="shared" si="86"/>
        <v>0</v>
      </c>
      <c r="S104" s="251" t="str">
        <f t="shared" si="87"/>
        <v/>
      </c>
      <c r="T104" s="407"/>
    </row>
    <row r="105" spans="1:20" ht="15" customHeight="1">
      <c r="A105" s="305">
        <f t="shared" si="56"/>
        <v>95</v>
      </c>
      <c r="B105" s="306"/>
      <c r="C105" s="313" t="s">
        <v>198</v>
      </c>
      <c r="D105" s="307"/>
      <c r="E105" s="308" t="s">
        <v>10</v>
      </c>
      <c r="F105" s="309">
        <f>'Annual Budget '!G105</f>
        <v>53928.553865000002</v>
      </c>
      <c r="G105" s="400"/>
      <c r="H105" s="310">
        <f t="shared" si="80"/>
        <v>53928.553865000002</v>
      </c>
      <c r="I105" s="401"/>
      <c r="J105" s="309">
        <f>'Annual Budget '!I105</f>
        <v>0</v>
      </c>
      <c r="K105" s="400"/>
      <c r="L105" s="310">
        <f t="shared" si="81"/>
        <v>0</v>
      </c>
      <c r="M105" s="402"/>
      <c r="N105" s="309">
        <f t="shared" si="82"/>
        <v>53928.553865000002</v>
      </c>
      <c r="O105" s="310">
        <f t="shared" si="83"/>
        <v>0</v>
      </c>
      <c r="P105" s="310">
        <f t="shared" si="84"/>
        <v>53928.553865000002</v>
      </c>
      <c r="Q105" s="311">
        <f t="shared" si="85"/>
        <v>0</v>
      </c>
      <c r="R105" s="312">
        <f t="shared" si="86"/>
        <v>1.0964069938626347E-2</v>
      </c>
      <c r="S105" s="312">
        <f t="shared" si="87"/>
        <v>0</v>
      </c>
      <c r="T105" s="417"/>
    </row>
    <row r="106" spans="1:20" ht="15" customHeight="1">
      <c r="A106" s="314">
        <f t="shared" si="56"/>
        <v>96</v>
      </c>
      <c r="B106" s="315"/>
      <c r="C106" s="315"/>
      <c r="D106" s="316" t="s">
        <v>78</v>
      </c>
      <c r="E106" s="317" t="s">
        <v>11</v>
      </c>
      <c r="F106" s="318">
        <f>SUM(F99:F105)</f>
        <v>524318.34627724998</v>
      </c>
      <c r="G106" s="319">
        <f t="shared" ref="G106:Q106" si="88">SUM(G99:G105)</f>
        <v>0</v>
      </c>
      <c r="H106" s="319">
        <f t="shared" si="88"/>
        <v>524318.34627724998</v>
      </c>
      <c r="I106" s="320">
        <f t="shared" si="88"/>
        <v>0</v>
      </c>
      <c r="J106" s="318">
        <f t="shared" si="88"/>
        <v>0</v>
      </c>
      <c r="K106" s="319">
        <f t="shared" si="88"/>
        <v>0</v>
      </c>
      <c r="L106" s="319">
        <f t="shared" si="88"/>
        <v>0</v>
      </c>
      <c r="M106" s="320">
        <f t="shared" si="88"/>
        <v>0</v>
      </c>
      <c r="N106" s="318">
        <f t="shared" si="88"/>
        <v>524318.34627724998</v>
      </c>
      <c r="O106" s="319">
        <f t="shared" si="88"/>
        <v>0</v>
      </c>
      <c r="P106" s="319">
        <f t="shared" si="88"/>
        <v>524318.34627724998</v>
      </c>
      <c r="Q106" s="321">
        <f t="shared" si="88"/>
        <v>0</v>
      </c>
      <c r="R106" s="322">
        <f t="shared" si="86"/>
        <v>0.10659775956684046</v>
      </c>
      <c r="S106" s="322">
        <f t="shared" si="87"/>
        <v>0</v>
      </c>
      <c r="T106" s="418"/>
    </row>
    <row r="107" spans="1:20" ht="17.25" customHeight="1">
      <c r="A107" s="323">
        <f t="shared" si="56"/>
        <v>97</v>
      </c>
      <c r="B107" s="324" t="s">
        <v>80</v>
      </c>
      <c r="C107" s="325"/>
      <c r="D107" s="326"/>
      <c r="E107" s="327"/>
      <c r="F107" s="328"/>
      <c r="G107" s="329"/>
      <c r="H107" s="329"/>
      <c r="I107" s="330"/>
      <c r="J107" s="328"/>
      <c r="K107" s="329"/>
      <c r="L107" s="329"/>
      <c r="M107" s="331"/>
      <c r="N107" s="328"/>
      <c r="O107" s="329"/>
      <c r="P107" s="329"/>
      <c r="Q107" s="311"/>
      <c r="R107" s="312"/>
      <c r="S107" s="312"/>
      <c r="T107" s="419"/>
    </row>
    <row r="108" spans="1:20" ht="17.25" customHeight="1">
      <c r="A108" s="305">
        <f t="shared" si="56"/>
        <v>98</v>
      </c>
      <c r="B108" s="306"/>
      <c r="C108" s="306" t="s">
        <v>12</v>
      </c>
      <c r="D108" s="307"/>
      <c r="E108" s="308">
        <v>332</v>
      </c>
      <c r="F108" s="309">
        <f>'Annual Budget '!G108</f>
        <v>12500</v>
      </c>
      <c r="G108" s="400"/>
      <c r="H108" s="310">
        <f t="shared" ref="H108:H111" si="89">SUM(F108:G108)</f>
        <v>12500</v>
      </c>
      <c r="I108" s="401"/>
      <c r="J108" s="309">
        <f>'Annual Budget '!I108</f>
        <v>0</v>
      </c>
      <c r="K108" s="400"/>
      <c r="L108" s="310">
        <f t="shared" ref="L108:L111" si="90">SUM(J108:K108)</f>
        <v>0</v>
      </c>
      <c r="M108" s="402"/>
      <c r="N108" s="309">
        <f t="shared" ref="N108:N111" si="91">F108+J108</f>
        <v>12500</v>
      </c>
      <c r="O108" s="310">
        <f t="shared" ref="O108:O111" si="92">K108+G108</f>
        <v>0</v>
      </c>
      <c r="P108" s="310">
        <f t="shared" ref="P108:P111" si="93">SUM(N108:O108)</f>
        <v>12500</v>
      </c>
      <c r="Q108" s="311">
        <f t="shared" ref="Q108:Q111" si="94">M108+I108</f>
        <v>0</v>
      </c>
      <c r="R108" s="312">
        <f t="shared" ref="R108:R112" si="95">P108/$P$156</f>
        <v>2.5413415419206389E-3</v>
      </c>
      <c r="S108" s="312">
        <f t="shared" ref="S108:S112" si="96">IFERROR(Q108/P108,"")</f>
        <v>0</v>
      </c>
      <c r="T108" s="417"/>
    </row>
    <row r="109" spans="1:20" ht="15" customHeight="1">
      <c r="A109" s="305">
        <f t="shared" si="56"/>
        <v>99</v>
      </c>
      <c r="B109" s="306"/>
      <c r="C109" s="306" t="s">
        <v>13</v>
      </c>
      <c r="D109" s="307"/>
      <c r="E109" s="308">
        <v>333</v>
      </c>
      <c r="F109" s="309">
        <f>'Annual Budget '!G109</f>
        <v>17199</v>
      </c>
      <c r="G109" s="400"/>
      <c r="H109" s="310">
        <f t="shared" si="89"/>
        <v>17199</v>
      </c>
      <c r="I109" s="401"/>
      <c r="J109" s="309">
        <f>'Annual Budget '!I109</f>
        <v>0</v>
      </c>
      <c r="K109" s="400"/>
      <c r="L109" s="310">
        <f t="shared" si="90"/>
        <v>0</v>
      </c>
      <c r="M109" s="402"/>
      <c r="N109" s="309">
        <f t="shared" si="91"/>
        <v>17199</v>
      </c>
      <c r="O109" s="310">
        <f t="shared" si="92"/>
        <v>0</v>
      </c>
      <c r="P109" s="310">
        <f t="shared" si="93"/>
        <v>17199</v>
      </c>
      <c r="Q109" s="311">
        <f t="shared" si="94"/>
        <v>0</v>
      </c>
      <c r="R109" s="312">
        <f t="shared" si="95"/>
        <v>3.4966826543594452E-3</v>
      </c>
      <c r="S109" s="312">
        <f t="shared" si="96"/>
        <v>0</v>
      </c>
      <c r="T109" s="417"/>
    </row>
    <row r="110" spans="1:20" ht="15" customHeight="1">
      <c r="A110" s="305">
        <f t="shared" si="56"/>
        <v>100</v>
      </c>
      <c r="B110" s="306"/>
      <c r="C110" s="306" t="s">
        <v>35</v>
      </c>
      <c r="D110" s="307"/>
      <c r="E110" s="308" t="s">
        <v>96</v>
      </c>
      <c r="F110" s="309">
        <f>'Annual Budget '!G110</f>
        <v>0</v>
      </c>
      <c r="G110" s="400"/>
      <c r="H110" s="310">
        <f t="shared" si="89"/>
        <v>0</v>
      </c>
      <c r="I110" s="401"/>
      <c r="J110" s="309">
        <f>'Annual Budget '!I110</f>
        <v>0</v>
      </c>
      <c r="K110" s="400"/>
      <c r="L110" s="310">
        <f t="shared" si="90"/>
        <v>0</v>
      </c>
      <c r="M110" s="402"/>
      <c r="N110" s="309">
        <f t="shared" si="91"/>
        <v>0</v>
      </c>
      <c r="O110" s="310">
        <f t="shared" si="92"/>
        <v>0</v>
      </c>
      <c r="P110" s="310">
        <f t="shared" si="93"/>
        <v>0</v>
      </c>
      <c r="Q110" s="311">
        <f t="shared" si="94"/>
        <v>0</v>
      </c>
      <c r="R110" s="312">
        <f t="shared" si="95"/>
        <v>0</v>
      </c>
      <c r="S110" s="312" t="str">
        <f t="shared" si="96"/>
        <v/>
      </c>
      <c r="T110" s="417"/>
    </row>
    <row r="111" spans="1:20" ht="15" customHeight="1">
      <c r="A111" s="305">
        <f t="shared" si="56"/>
        <v>101</v>
      </c>
      <c r="B111" s="306"/>
      <c r="C111" s="313" t="s">
        <v>199</v>
      </c>
      <c r="D111" s="307"/>
      <c r="E111" s="308" t="s">
        <v>96</v>
      </c>
      <c r="F111" s="309">
        <f>'Annual Budget '!G111</f>
        <v>730338</v>
      </c>
      <c r="G111" s="400"/>
      <c r="H111" s="310">
        <f t="shared" si="89"/>
        <v>730338</v>
      </c>
      <c r="I111" s="401"/>
      <c r="J111" s="309">
        <f>'Annual Budget '!I111</f>
        <v>16794</v>
      </c>
      <c r="K111" s="400"/>
      <c r="L111" s="310">
        <f t="shared" si="90"/>
        <v>16794</v>
      </c>
      <c r="M111" s="402"/>
      <c r="N111" s="309">
        <f t="shared" si="91"/>
        <v>747132</v>
      </c>
      <c r="O111" s="310">
        <f t="shared" si="92"/>
        <v>0</v>
      </c>
      <c r="P111" s="310">
        <f t="shared" si="93"/>
        <v>747132</v>
      </c>
      <c r="Q111" s="311">
        <f t="shared" si="94"/>
        <v>0</v>
      </c>
      <c r="R111" s="312">
        <f t="shared" si="95"/>
        <v>0.15189740711186006</v>
      </c>
      <c r="S111" s="312">
        <f t="shared" si="96"/>
        <v>0</v>
      </c>
      <c r="T111" s="417"/>
    </row>
    <row r="112" spans="1:20" ht="15" customHeight="1">
      <c r="A112" s="314">
        <f t="shared" si="56"/>
        <v>102</v>
      </c>
      <c r="B112" s="315"/>
      <c r="C112" s="315"/>
      <c r="D112" s="316" t="s">
        <v>79</v>
      </c>
      <c r="E112" s="317" t="s">
        <v>14</v>
      </c>
      <c r="F112" s="318">
        <f>SUM(F108:F111)</f>
        <v>760037</v>
      </c>
      <c r="G112" s="319">
        <f t="shared" ref="G112:Q112" si="97">SUM(G108:G111)</f>
        <v>0</v>
      </c>
      <c r="H112" s="319">
        <f t="shared" si="97"/>
        <v>760037</v>
      </c>
      <c r="I112" s="320">
        <f t="shared" si="97"/>
        <v>0</v>
      </c>
      <c r="J112" s="318">
        <f t="shared" si="97"/>
        <v>16794</v>
      </c>
      <c r="K112" s="319">
        <f t="shared" si="97"/>
        <v>0</v>
      </c>
      <c r="L112" s="319">
        <f t="shared" si="97"/>
        <v>16794</v>
      </c>
      <c r="M112" s="320">
        <f t="shared" si="97"/>
        <v>0</v>
      </c>
      <c r="N112" s="318">
        <f t="shared" si="97"/>
        <v>776831</v>
      </c>
      <c r="O112" s="319">
        <f t="shared" si="97"/>
        <v>0</v>
      </c>
      <c r="P112" s="319">
        <f t="shared" si="97"/>
        <v>776831</v>
      </c>
      <c r="Q112" s="321">
        <f t="shared" si="97"/>
        <v>0</v>
      </c>
      <c r="R112" s="322">
        <f t="shared" si="95"/>
        <v>0.15793543130814014</v>
      </c>
      <c r="S112" s="322">
        <f t="shared" si="96"/>
        <v>0</v>
      </c>
      <c r="T112" s="418"/>
    </row>
    <row r="113" spans="1:20" ht="17.25" customHeight="1">
      <c r="A113" s="323">
        <f t="shared" si="56"/>
        <v>103</v>
      </c>
      <c r="B113" s="324" t="s">
        <v>81</v>
      </c>
      <c r="C113" s="324"/>
      <c r="D113" s="326"/>
      <c r="E113" s="327"/>
      <c r="F113" s="328"/>
      <c r="G113" s="329"/>
      <c r="H113" s="329"/>
      <c r="I113" s="330"/>
      <c r="J113" s="328"/>
      <c r="K113" s="329"/>
      <c r="L113" s="329"/>
      <c r="M113" s="331"/>
      <c r="N113" s="328"/>
      <c r="O113" s="329"/>
      <c r="P113" s="329"/>
      <c r="Q113" s="311"/>
      <c r="R113" s="312"/>
      <c r="S113" s="312"/>
      <c r="T113" s="419"/>
    </row>
    <row r="114" spans="1:20" ht="17.25" customHeight="1">
      <c r="A114" s="305">
        <f t="shared" si="56"/>
        <v>104</v>
      </c>
      <c r="B114" s="332"/>
      <c r="C114" s="306" t="s">
        <v>24</v>
      </c>
      <c r="D114" s="307"/>
      <c r="E114" s="308">
        <v>411</v>
      </c>
      <c r="F114" s="309">
        <f>'Annual Budget '!G114</f>
        <v>24500</v>
      </c>
      <c r="G114" s="400"/>
      <c r="H114" s="310">
        <f t="shared" ref="H114:H118" si="98">SUM(F114:G114)</f>
        <v>24500</v>
      </c>
      <c r="I114" s="401"/>
      <c r="J114" s="309">
        <f>'Annual Budget '!I114</f>
        <v>0</v>
      </c>
      <c r="K114" s="400"/>
      <c r="L114" s="310">
        <f t="shared" ref="L114:L118" si="99">SUM(J114:K114)</f>
        <v>0</v>
      </c>
      <c r="M114" s="402"/>
      <c r="N114" s="309">
        <f t="shared" ref="N114:N118" si="100">F114+J114</f>
        <v>24500</v>
      </c>
      <c r="O114" s="310">
        <f t="shared" ref="O114:O118" si="101">K114+G114</f>
        <v>0</v>
      </c>
      <c r="P114" s="310">
        <f t="shared" ref="P114:P118" si="102">SUM(N114:O114)</f>
        <v>24500</v>
      </c>
      <c r="Q114" s="311">
        <f t="shared" ref="Q114:Q118" si="103">M114+I114</f>
        <v>0</v>
      </c>
      <c r="R114" s="312">
        <f t="shared" ref="R114:R119" si="104">P114/$P$156</f>
        <v>4.9810294221644515E-3</v>
      </c>
      <c r="S114" s="312">
        <f t="shared" ref="S114:S119" si="105">IFERROR(Q114/P114,"")</f>
        <v>0</v>
      </c>
      <c r="T114" s="417"/>
    </row>
    <row r="115" spans="1:20" ht="15" customHeight="1">
      <c r="A115" s="305">
        <f t="shared" si="56"/>
        <v>105</v>
      </c>
      <c r="B115" s="332"/>
      <c r="C115" s="333" t="s">
        <v>114</v>
      </c>
      <c r="D115" s="307"/>
      <c r="E115" s="308">
        <v>441</v>
      </c>
      <c r="F115" s="309">
        <f>'Annual Budget '!G115</f>
        <v>0</v>
      </c>
      <c r="G115" s="400"/>
      <c r="H115" s="310">
        <f t="shared" si="98"/>
        <v>0</v>
      </c>
      <c r="I115" s="401"/>
      <c r="J115" s="309">
        <f>'Annual Budget '!I115</f>
        <v>0</v>
      </c>
      <c r="K115" s="400"/>
      <c r="L115" s="310">
        <f t="shared" si="99"/>
        <v>0</v>
      </c>
      <c r="M115" s="402"/>
      <c r="N115" s="309">
        <f t="shared" si="100"/>
        <v>0</v>
      </c>
      <c r="O115" s="310">
        <f t="shared" si="101"/>
        <v>0</v>
      </c>
      <c r="P115" s="310">
        <f t="shared" si="102"/>
        <v>0</v>
      </c>
      <c r="Q115" s="311">
        <f t="shared" si="103"/>
        <v>0</v>
      </c>
      <c r="R115" s="312">
        <f t="shared" si="104"/>
        <v>0</v>
      </c>
      <c r="S115" s="312" t="str">
        <f t="shared" si="105"/>
        <v/>
      </c>
      <c r="T115" s="417"/>
    </row>
    <row r="116" spans="1:20" ht="15" customHeight="1">
      <c r="A116" s="305">
        <f t="shared" si="56"/>
        <v>106</v>
      </c>
      <c r="B116" s="332"/>
      <c r="C116" s="306" t="s">
        <v>97</v>
      </c>
      <c r="D116" s="307"/>
      <c r="E116" s="308">
        <v>442</v>
      </c>
      <c r="F116" s="309">
        <f>'Annual Budget '!G116</f>
        <v>22070</v>
      </c>
      <c r="G116" s="400"/>
      <c r="H116" s="310">
        <f t="shared" si="98"/>
        <v>22070</v>
      </c>
      <c r="I116" s="401"/>
      <c r="J116" s="309">
        <f>'Annual Budget '!I116</f>
        <v>0</v>
      </c>
      <c r="K116" s="400"/>
      <c r="L116" s="310">
        <f t="shared" si="99"/>
        <v>0</v>
      </c>
      <c r="M116" s="402"/>
      <c r="N116" s="309">
        <f t="shared" si="100"/>
        <v>22070</v>
      </c>
      <c r="O116" s="310">
        <f t="shared" si="101"/>
        <v>0</v>
      </c>
      <c r="P116" s="310">
        <f t="shared" si="102"/>
        <v>22070</v>
      </c>
      <c r="Q116" s="311">
        <f t="shared" si="103"/>
        <v>0</v>
      </c>
      <c r="R116" s="312">
        <f t="shared" si="104"/>
        <v>4.4869926264150799E-3</v>
      </c>
      <c r="S116" s="312">
        <f t="shared" si="105"/>
        <v>0</v>
      </c>
      <c r="T116" s="417"/>
    </row>
    <row r="117" spans="1:20" ht="15" customHeight="1">
      <c r="A117" s="305">
        <f t="shared" si="56"/>
        <v>107</v>
      </c>
      <c r="B117" s="332"/>
      <c r="C117" s="306" t="s">
        <v>36</v>
      </c>
      <c r="D117" s="307"/>
      <c r="E117" s="308">
        <v>430</v>
      </c>
      <c r="F117" s="309">
        <f>'Annual Budget '!G117</f>
        <v>81000</v>
      </c>
      <c r="G117" s="400"/>
      <c r="H117" s="310">
        <f t="shared" si="98"/>
        <v>81000</v>
      </c>
      <c r="I117" s="401"/>
      <c r="J117" s="309">
        <f>'Annual Budget '!I117</f>
        <v>0</v>
      </c>
      <c r="K117" s="400"/>
      <c r="L117" s="310">
        <f t="shared" si="99"/>
        <v>0</v>
      </c>
      <c r="M117" s="402"/>
      <c r="N117" s="309">
        <f t="shared" si="100"/>
        <v>81000</v>
      </c>
      <c r="O117" s="310">
        <f t="shared" si="101"/>
        <v>0</v>
      </c>
      <c r="P117" s="310">
        <f t="shared" si="102"/>
        <v>81000</v>
      </c>
      <c r="Q117" s="311">
        <f t="shared" si="103"/>
        <v>0</v>
      </c>
      <c r="R117" s="312">
        <f t="shared" si="104"/>
        <v>1.6467893191645738E-2</v>
      </c>
      <c r="S117" s="312">
        <f t="shared" si="105"/>
        <v>0</v>
      </c>
      <c r="T117" s="417"/>
    </row>
    <row r="118" spans="1:20" ht="15" customHeight="1">
      <c r="A118" s="305">
        <f t="shared" si="56"/>
        <v>108</v>
      </c>
      <c r="B118" s="306"/>
      <c r="C118" s="313" t="s">
        <v>200</v>
      </c>
      <c r="D118" s="307"/>
      <c r="E118" s="334" t="s">
        <v>98</v>
      </c>
      <c r="F118" s="309">
        <f>'Annual Budget '!G118</f>
        <v>78039</v>
      </c>
      <c r="G118" s="400"/>
      <c r="H118" s="310">
        <f t="shared" si="98"/>
        <v>78039</v>
      </c>
      <c r="I118" s="401"/>
      <c r="J118" s="309">
        <f>'Annual Budget '!I118</f>
        <v>0</v>
      </c>
      <c r="K118" s="400"/>
      <c r="L118" s="310">
        <f t="shared" si="99"/>
        <v>0</v>
      </c>
      <c r="M118" s="402"/>
      <c r="N118" s="309">
        <f t="shared" si="100"/>
        <v>78039</v>
      </c>
      <c r="O118" s="310">
        <f t="shared" si="101"/>
        <v>0</v>
      </c>
      <c r="P118" s="310">
        <f t="shared" si="102"/>
        <v>78039</v>
      </c>
      <c r="Q118" s="311">
        <f t="shared" si="103"/>
        <v>0</v>
      </c>
      <c r="R118" s="312">
        <f t="shared" si="104"/>
        <v>1.5865900207195579E-2</v>
      </c>
      <c r="S118" s="312">
        <f t="shared" si="105"/>
        <v>0</v>
      </c>
      <c r="T118" s="417"/>
    </row>
    <row r="119" spans="1:20" ht="15" customHeight="1" thickBot="1">
      <c r="A119" s="219">
        <f t="shared" si="56"/>
        <v>109</v>
      </c>
      <c r="B119" s="195"/>
      <c r="C119" s="195" t="s">
        <v>82</v>
      </c>
      <c r="D119" s="196"/>
      <c r="E119" s="197">
        <v>400</v>
      </c>
      <c r="F119" s="223">
        <f>SUM(F114:F118)</f>
        <v>205609</v>
      </c>
      <c r="G119" s="226">
        <f t="shared" ref="G119:Q119" si="106">SUM(G114:G118)</f>
        <v>0</v>
      </c>
      <c r="H119" s="226">
        <f t="shared" si="106"/>
        <v>205609</v>
      </c>
      <c r="I119" s="199">
        <f t="shared" si="106"/>
        <v>0</v>
      </c>
      <c r="J119" s="223">
        <f t="shared" si="106"/>
        <v>0</v>
      </c>
      <c r="K119" s="226">
        <f t="shared" si="106"/>
        <v>0</v>
      </c>
      <c r="L119" s="226">
        <f t="shared" si="106"/>
        <v>0</v>
      </c>
      <c r="M119" s="199">
        <f t="shared" si="106"/>
        <v>0</v>
      </c>
      <c r="N119" s="223">
        <f t="shared" si="106"/>
        <v>205609</v>
      </c>
      <c r="O119" s="226">
        <f t="shared" si="106"/>
        <v>0</v>
      </c>
      <c r="P119" s="226">
        <f t="shared" si="106"/>
        <v>205609</v>
      </c>
      <c r="Q119" s="198">
        <f t="shared" si="106"/>
        <v>0</v>
      </c>
      <c r="R119" s="194">
        <f t="shared" si="104"/>
        <v>4.1801815447420849E-2</v>
      </c>
      <c r="S119" s="194">
        <f t="shared" si="105"/>
        <v>0</v>
      </c>
      <c r="T119" s="415"/>
    </row>
    <row r="120" spans="1:20" ht="17.25" customHeight="1" thickTop="1">
      <c r="A120" s="268">
        <f t="shared" si="56"/>
        <v>110</v>
      </c>
      <c r="B120" s="269" t="s">
        <v>99</v>
      </c>
      <c r="C120" s="269"/>
      <c r="D120" s="270"/>
      <c r="E120" s="335"/>
      <c r="F120" s="336"/>
      <c r="G120" s="337"/>
      <c r="H120" s="337"/>
      <c r="I120" s="338"/>
      <c r="J120" s="336"/>
      <c r="K120" s="337"/>
      <c r="L120" s="337"/>
      <c r="M120" s="339"/>
      <c r="N120" s="336"/>
      <c r="O120" s="337"/>
      <c r="P120" s="337"/>
      <c r="Q120" s="340"/>
      <c r="R120" s="275"/>
      <c r="S120" s="275"/>
      <c r="T120" s="420"/>
    </row>
    <row r="121" spans="1:20" ht="17.25" customHeight="1">
      <c r="A121" s="243">
        <f t="shared" si="56"/>
        <v>111</v>
      </c>
      <c r="B121" s="302"/>
      <c r="C121" s="288" t="s">
        <v>15</v>
      </c>
      <c r="D121" s="231"/>
      <c r="E121" s="245" t="s">
        <v>16</v>
      </c>
      <c r="F121" s="290">
        <f>'Annual Budget '!G121</f>
        <v>351360</v>
      </c>
      <c r="G121" s="398"/>
      <c r="H121" s="291">
        <f t="shared" ref="H121:H129" si="107">SUM(F121:G121)</f>
        <v>351360</v>
      </c>
      <c r="I121" s="393"/>
      <c r="J121" s="290">
        <f>'Annual Budget '!I121</f>
        <v>0</v>
      </c>
      <c r="K121" s="398"/>
      <c r="L121" s="291">
        <f t="shared" ref="L121:L129" si="108">SUM(J121:K121)</f>
        <v>0</v>
      </c>
      <c r="M121" s="399"/>
      <c r="N121" s="290">
        <f t="shared" ref="N121:N129" si="109">F121+J121</f>
        <v>351360</v>
      </c>
      <c r="O121" s="291">
        <f t="shared" ref="O121:O129" si="110">K121+G121</f>
        <v>0</v>
      </c>
      <c r="P121" s="291">
        <f t="shared" ref="P121:P129" si="111">SUM(N121:O121)</f>
        <v>351360</v>
      </c>
      <c r="Q121" s="289">
        <f t="shared" ref="Q121:Q129" si="112">M121+I121</f>
        <v>0</v>
      </c>
      <c r="R121" s="251">
        <f t="shared" ref="R121:R130" si="113">P121/$P$156</f>
        <v>7.1434061133538854E-2</v>
      </c>
      <c r="S121" s="251">
        <f t="shared" ref="S121:S130" si="114">IFERROR(Q121/P121,"")</f>
        <v>0</v>
      </c>
      <c r="T121" s="407"/>
    </row>
    <row r="122" spans="1:20" ht="15" customHeight="1">
      <c r="A122" s="243">
        <f t="shared" si="56"/>
        <v>112</v>
      </c>
      <c r="B122" s="302"/>
      <c r="C122" s="288" t="s">
        <v>146</v>
      </c>
      <c r="D122" s="231"/>
      <c r="E122" s="245">
        <v>522</v>
      </c>
      <c r="F122" s="290">
        <f>'Annual Budget '!G122</f>
        <v>0</v>
      </c>
      <c r="G122" s="398"/>
      <c r="H122" s="291">
        <f t="shared" si="107"/>
        <v>0</v>
      </c>
      <c r="I122" s="393"/>
      <c r="J122" s="290">
        <f>'Annual Budget '!I122</f>
        <v>0</v>
      </c>
      <c r="K122" s="398"/>
      <c r="L122" s="291">
        <f t="shared" si="108"/>
        <v>0</v>
      </c>
      <c r="M122" s="399"/>
      <c r="N122" s="290">
        <f t="shared" si="109"/>
        <v>0</v>
      </c>
      <c r="O122" s="291">
        <f t="shared" si="110"/>
        <v>0</v>
      </c>
      <c r="P122" s="291">
        <f t="shared" si="111"/>
        <v>0</v>
      </c>
      <c r="Q122" s="289">
        <f t="shared" si="112"/>
        <v>0</v>
      </c>
      <c r="R122" s="251">
        <f t="shared" si="113"/>
        <v>0</v>
      </c>
      <c r="S122" s="251" t="str">
        <f t="shared" si="114"/>
        <v/>
      </c>
      <c r="T122" s="407"/>
    </row>
    <row r="123" spans="1:20" ht="15" customHeight="1">
      <c r="A123" s="243">
        <f t="shared" si="56"/>
        <v>113</v>
      </c>
      <c r="B123" s="302"/>
      <c r="C123" s="288" t="s">
        <v>147</v>
      </c>
      <c r="D123" s="231"/>
      <c r="E123" s="245">
        <v>521</v>
      </c>
      <c r="F123" s="290">
        <f>'Annual Budget '!G123</f>
        <v>51000</v>
      </c>
      <c r="G123" s="398"/>
      <c r="H123" s="291">
        <f t="shared" si="107"/>
        <v>51000</v>
      </c>
      <c r="I123" s="393"/>
      <c r="J123" s="290">
        <f>'Annual Budget '!I123</f>
        <v>0</v>
      </c>
      <c r="K123" s="398"/>
      <c r="L123" s="291">
        <f t="shared" si="108"/>
        <v>0</v>
      </c>
      <c r="M123" s="399"/>
      <c r="N123" s="290">
        <f t="shared" si="109"/>
        <v>51000</v>
      </c>
      <c r="O123" s="291">
        <f t="shared" si="110"/>
        <v>0</v>
      </c>
      <c r="P123" s="291">
        <f t="shared" si="111"/>
        <v>51000</v>
      </c>
      <c r="Q123" s="289">
        <f t="shared" si="112"/>
        <v>0</v>
      </c>
      <c r="R123" s="251">
        <f t="shared" si="113"/>
        <v>1.0368673491036207E-2</v>
      </c>
      <c r="S123" s="251">
        <f t="shared" si="114"/>
        <v>0</v>
      </c>
      <c r="T123" s="407"/>
    </row>
    <row r="124" spans="1:20" ht="15" customHeight="1">
      <c r="A124" s="243">
        <f t="shared" si="56"/>
        <v>114</v>
      </c>
      <c r="B124" s="302"/>
      <c r="C124" s="288" t="s">
        <v>148</v>
      </c>
      <c r="D124" s="231"/>
      <c r="E124" s="245">
        <v>523</v>
      </c>
      <c r="F124" s="290">
        <f>'Annual Budget '!G124</f>
        <v>0</v>
      </c>
      <c r="G124" s="398"/>
      <c r="H124" s="291">
        <f t="shared" si="107"/>
        <v>0</v>
      </c>
      <c r="I124" s="393"/>
      <c r="J124" s="290">
        <f>'Annual Budget '!I124</f>
        <v>0</v>
      </c>
      <c r="K124" s="398"/>
      <c r="L124" s="291">
        <f t="shared" si="108"/>
        <v>0</v>
      </c>
      <c r="M124" s="399"/>
      <c r="N124" s="290">
        <f t="shared" si="109"/>
        <v>0</v>
      </c>
      <c r="O124" s="291">
        <f t="shared" si="110"/>
        <v>0</v>
      </c>
      <c r="P124" s="291">
        <f t="shared" si="111"/>
        <v>0</v>
      </c>
      <c r="Q124" s="289">
        <f t="shared" si="112"/>
        <v>0</v>
      </c>
      <c r="R124" s="251">
        <f t="shared" si="113"/>
        <v>0</v>
      </c>
      <c r="S124" s="251" t="str">
        <f t="shared" si="114"/>
        <v/>
      </c>
      <c r="T124" s="407"/>
    </row>
    <row r="125" spans="1:20" ht="15" customHeight="1">
      <c r="A125" s="243">
        <f t="shared" si="56"/>
        <v>115</v>
      </c>
      <c r="B125" s="302"/>
      <c r="C125" s="288" t="s">
        <v>149</v>
      </c>
      <c r="D125" s="231"/>
      <c r="E125" s="245">
        <v>524</v>
      </c>
      <c r="F125" s="290">
        <f>'Annual Budget '!G125</f>
        <v>0</v>
      </c>
      <c r="G125" s="398"/>
      <c r="H125" s="291">
        <f t="shared" si="107"/>
        <v>0</v>
      </c>
      <c r="I125" s="393"/>
      <c r="J125" s="290">
        <f>'Annual Budget '!I125</f>
        <v>0</v>
      </c>
      <c r="K125" s="398"/>
      <c r="L125" s="291">
        <f t="shared" si="108"/>
        <v>0</v>
      </c>
      <c r="M125" s="399"/>
      <c r="N125" s="290">
        <f t="shared" si="109"/>
        <v>0</v>
      </c>
      <c r="O125" s="291">
        <f t="shared" si="110"/>
        <v>0</v>
      </c>
      <c r="P125" s="291">
        <f t="shared" si="111"/>
        <v>0</v>
      </c>
      <c r="Q125" s="289">
        <f t="shared" si="112"/>
        <v>0</v>
      </c>
      <c r="R125" s="251">
        <f t="shared" si="113"/>
        <v>0</v>
      </c>
      <c r="S125" s="251" t="str">
        <f t="shared" si="114"/>
        <v/>
      </c>
      <c r="T125" s="407"/>
    </row>
    <row r="126" spans="1:20" ht="15" customHeight="1">
      <c r="A126" s="243">
        <f t="shared" si="56"/>
        <v>116</v>
      </c>
      <c r="B126" s="302"/>
      <c r="C126" s="244" t="s">
        <v>150</v>
      </c>
      <c r="D126" s="231"/>
      <c r="E126" s="245">
        <v>525</v>
      </c>
      <c r="F126" s="290">
        <f>'Annual Budget '!G126</f>
        <v>0</v>
      </c>
      <c r="G126" s="398"/>
      <c r="H126" s="291">
        <f t="shared" si="107"/>
        <v>0</v>
      </c>
      <c r="I126" s="393"/>
      <c r="J126" s="290">
        <f>'Annual Budget '!I126</f>
        <v>0</v>
      </c>
      <c r="K126" s="398"/>
      <c r="L126" s="291">
        <f t="shared" si="108"/>
        <v>0</v>
      </c>
      <c r="M126" s="399"/>
      <c r="N126" s="290">
        <f t="shared" si="109"/>
        <v>0</v>
      </c>
      <c r="O126" s="291">
        <f t="shared" si="110"/>
        <v>0</v>
      </c>
      <c r="P126" s="291">
        <f t="shared" si="111"/>
        <v>0</v>
      </c>
      <c r="Q126" s="289">
        <f t="shared" si="112"/>
        <v>0</v>
      </c>
      <c r="R126" s="251">
        <f t="shared" si="113"/>
        <v>0</v>
      </c>
      <c r="S126" s="251" t="str">
        <f t="shared" si="114"/>
        <v/>
      </c>
      <c r="T126" s="407"/>
    </row>
    <row r="127" spans="1:20" ht="17.25" customHeight="1">
      <c r="A127" s="243">
        <f t="shared" si="56"/>
        <v>117</v>
      </c>
      <c r="B127" s="244"/>
      <c r="C127" s="288" t="s">
        <v>115</v>
      </c>
      <c r="D127" s="231"/>
      <c r="E127" s="304" t="s">
        <v>100</v>
      </c>
      <c r="F127" s="290">
        <f>'Annual Budget '!G127</f>
        <v>0</v>
      </c>
      <c r="G127" s="398"/>
      <c r="H127" s="291">
        <f t="shared" si="107"/>
        <v>0</v>
      </c>
      <c r="I127" s="393"/>
      <c r="J127" s="290">
        <f>'Annual Budget '!I127</f>
        <v>267500</v>
      </c>
      <c r="K127" s="398"/>
      <c r="L127" s="291">
        <f t="shared" si="108"/>
        <v>267500</v>
      </c>
      <c r="M127" s="399"/>
      <c r="N127" s="290">
        <f t="shared" si="109"/>
        <v>267500</v>
      </c>
      <c r="O127" s="291">
        <f t="shared" si="110"/>
        <v>0</v>
      </c>
      <c r="P127" s="291">
        <f t="shared" si="111"/>
        <v>267500</v>
      </c>
      <c r="Q127" s="289">
        <f t="shared" si="112"/>
        <v>0</v>
      </c>
      <c r="R127" s="251">
        <f t="shared" si="113"/>
        <v>5.4384708997101669E-2</v>
      </c>
      <c r="S127" s="251">
        <f t="shared" si="114"/>
        <v>0</v>
      </c>
      <c r="T127" s="407"/>
    </row>
    <row r="128" spans="1:20" ht="17.25" customHeight="1">
      <c r="A128" s="243">
        <f t="shared" si="56"/>
        <v>118</v>
      </c>
      <c r="B128" s="244"/>
      <c r="C128" s="244" t="s">
        <v>17</v>
      </c>
      <c r="D128" s="231"/>
      <c r="E128" s="245" t="s">
        <v>131</v>
      </c>
      <c r="F128" s="290">
        <f>'Annual Budget '!G128</f>
        <v>20000</v>
      </c>
      <c r="G128" s="398"/>
      <c r="H128" s="291">
        <f t="shared" si="107"/>
        <v>20000</v>
      </c>
      <c r="I128" s="393"/>
      <c r="J128" s="290">
        <f>'Annual Budget '!I128</f>
        <v>0</v>
      </c>
      <c r="K128" s="398"/>
      <c r="L128" s="291">
        <f t="shared" si="108"/>
        <v>0</v>
      </c>
      <c r="M128" s="399"/>
      <c r="N128" s="290">
        <f t="shared" si="109"/>
        <v>20000</v>
      </c>
      <c r="O128" s="291">
        <f t="shared" si="110"/>
        <v>0</v>
      </c>
      <c r="P128" s="291">
        <f t="shared" si="111"/>
        <v>20000</v>
      </c>
      <c r="Q128" s="289">
        <f t="shared" si="112"/>
        <v>0</v>
      </c>
      <c r="R128" s="251">
        <f t="shared" si="113"/>
        <v>4.0661464670730223E-3</v>
      </c>
      <c r="S128" s="251">
        <f t="shared" si="114"/>
        <v>0</v>
      </c>
      <c r="T128" s="407"/>
    </row>
    <row r="129" spans="1:20" ht="15" customHeight="1">
      <c r="A129" s="243">
        <f t="shared" si="56"/>
        <v>119</v>
      </c>
      <c r="B129" s="244"/>
      <c r="C129" s="288" t="s">
        <v>201</v>
      </c>
      <c r="D129" s="231"/>
      <c r="E129" s="245" t="s">
        <v>121</v>
      </c>
      <c r="F129" s="290">
        <f>'Annual Budget '!G129</f>
        <v>104538.23917990293</v>
      </c>
      <c r="G129" s="398"/>
      <c r="H129" s="291">
        <f t="shared" si="107"/>
        <v>104538.23917990293</v>
      </c>
      <c r="I129" s="393"/>
      <c r="J129" s="290">
        <f>'Annual Budget '!I129</f>
        <v>0</v>
      </c>
      <c r="K129" s="398"/>
      <c r="L129" s="291">
        <f t="shared" si="108"/>
        <v>0</v>
      </c>
      <c r="M129" s="399"/>
      <c r="N129" s="290">
        <f t="shared" si="109"/>
        <v>104538.23917990293</v>
      </c>
      <c r="O129" s="291">
        <f t="shared" si="110"/>
        <v>0</v>
      </c>
      <c r="P129" s="291">
        <f t="shared" si="111"/>
        <v>104538.23917990293</v>
      </c>
      <c r="Q129" s="289">
        <f t="shared" si="112"/>
        <v>0</v>
      </c>
      <c r="R129" s="251">
        <f t="shared" si="113"/>
        <v>2.1253389595769844E-2</v>
      </c>
      <c r="S129" s="251">
        <f t="shared" si="114"/>
        <v>0</v>
      </c>
      <c r="T129" s="407"/>
    </row>
    <row r="130" spans="1:20" ht="15" customHeight="1">
      <c r="A130" s="256">
        <f t="shared" si="56"/>
        <v>120</v>
      </c>
      <c r="B130" s="257"/>
      <c r="C130" s="257" t="s">
        <v>104</v>
      </c>
      <c r="D130" s="341"/>
      <c r="E130" s="293">
        <v>500</v>
      </c>
      <c r="F130" s="294">
        <f>SUM(F121:F129)</f>
        <v>526898.23917990294</v>
      </c>
      <c r="G130" s="295">
        <f t="shared" ref="G130:Q130" si="115">SUM(G121:G129)</f>
        <v>0</v>
      </c>
      <c r="H130" s="295">
        <f t="shared" si="115"/>
        <v>526898.23917990294</v>
      </c>
      <c r="I130" s="296">
        <f t="shared" si="115"/>
        <v>0</v>
      </c>
      <c r="J130" s="294">
        <f t="shared" si="115"/>
        <v>267500</v>
      </c>
      <c r="K130" s="295">
        <f t="shared" si="115"/>
        <v>0</v>
      </c>
      <c r="L130" s="295">
        <f t="shared" si="115"/>
        <v>267500</v>
      </c>
      <c r="M130" s="296">
        <f t="shared" si="115"/>
        <v>0</v>
      </c>
      <c r="N130" s="294">
        <f t="shared" si="115"/>
        <v>794398.23917990294</v>
      </c>
      <c r="O130" s="295">
        <f t="shared" si="115"/>
        <v>0</v>
      </c>
      <c r="P130" s="295">
        <f t="shared" si="115"/>
        <v>794398.23917990294</v>
      </c>
      <c r="Q130" s="297">
        <f t="shared" si="115"/>
        <v>0</v>
      </c>
      <c r="R130" s="263">
        <f t="shared" si="113"/>
        <v>0.1615069796845196</v>
      </c>
      <c r="S130" s="263">
        <f t="shared" si="114"/>
        <v>0</v>
      </c>
      <c r="T130" s="408"/>
    </row>
    <row r="131" spans="1:20" ht="15" customHeight="1">
      <c r="A131" s="234">
        <f t="shared" si="56"/>
        <v>121</v>
      </c>
      <c r="B131" s="235" t="s">
        <v>83</v>
      </c>
      <c r="C131" s="235"/>
      <c r="D131" s="236"/>
      <c r="E131" s="237"/>
      <c r="F131" s="299"/>
      <c r="G131" s="300"/>
      <c r="H131" s="300"/>
      <c r="I131" s="240"/>
      <c r="J131" s="299"/>
      <c r="K131" s="300"/>
      <c r="L131" s="300"/>
      <c r="M131" s="301"/>
      <c r="N131" s="299"/>
      <c r="O131" s="300"/>
      <c r="P131" s="300"/>
      <c r="Q131" s="289"/>
      <c r="R131" s="251"/>
      <c r="S131" s="251"/>
      <c r="T131" s="414"/>
    </row>
    <row r="132" spans="1:20" ht="15" customHeight="1">
      <c r="A132" s="243">
        <f t="shared" si="56"/>
        <v>122</v>
      </c>
      <c r="B132" s="302"/>
      <c r="C132" s="303" t="s">
        <v>39</v>
      </c>
      <c r="D132" s="231"/>
      <c r="E132" s="245">
        <v>610</v>
      </c>
      <c r="F132" s="290">
        <f>'Annual Budget '!G132</f>
        <v>188750</v>
      </c>
      <c r="G132" s="398"/>
      <c r="H132" s="291">
        <f t="shared" ref="H132:H136" si="116">SUM(F132:G132)</f>
        <v>188750</v>
      </c>
      <c r="I132" s="393"/>
      <c r="J132" s="290">
        <f>'Annual Budget '!I132</f>
        <v>0</v>
      </c>
      <c r="K132" s="398"/>
      <c r="L132" s="291">
        <f t="shared" ref="L132:L136" si="117">SUM(J132:K132)</f>
        <v>0</v>
      </c>
      <c r="M132" s="399"/>
      <c r="N132" s="290">
        <f t="shared" ref="N132:N136" si="118">F132+J132</f>
        <v>188750</v>
      </c>
      <c r="O132" s="291">
        <f t="shared" ref="O132:O136" si="119">K132+G132</f>
        <v>0</v>
      </c>
      <c r="P132" s="291">
        <f t="shared" ref="P132:P136" si="120">SUM(N132:O132)</f>
        <v>188750</v>
      </c>
      <c r="Q132" s="289">
        <f t="shared" ref="Q132:Q136" si="121">M132+I132</f>
        <v>0</v>
      </c>
      <c r="R132" s="251">
        <f t="shared" ref="R132:R137" si="122">P132/$P$156</f>
        <v>3.8374257283001645E-2</v>
      </c>
      <c r="S132" s="251">
        <f t="shared" ref="S132:S137" si="123">IFERROR(Q132/P132,"")</f>
        <v>0</v>
      </c>
      <c r="T132" s="407"/>
    </row>
    <row r="133" spans="1:20" ht="15" customHeight="1">
      <c r="A133" s="243">
        <f t="shared" si="56"/>
        <v>123</v>
      </c>
      <c r="B133" s="302"/>
      <c r="C133" s="303" t="s">
        <v>71</v>
      </c>
      <c r="D133" s="231"/>
      <c r="E133" s="245" t="s">
        <v>18</v>
      </c>
      <c r="F133" s="290">
        <f>'Annual Budget '!G133</f>
        <v>112500</v>
      </c>
      <c r="G133" s="398"/>
      <c r="H133" s="291">
        <f t="shared" si="116"/>
        <v>112500</v>
      </c>
      <c r="I133" s="393"/>
      <c r="J133" s="290">
        <f>'Annual Budget '!I133</f>
        <v>0</v>
      </c>
      <c r="K133" s="398"/>
      <c r="L133" s="291">
        <f t="shared" si="117"/>
        <v>0</v>
      </c>
      <c r="M133" s="399"/>
      <c r="N133" s="290">
        <f t="shared" si="118"/>
        <v>112500</v>
      </c>
      <c r="O133" s="291">
        <f t="shared" si="119"/>
        <v>0</v>
      </c>
      <c r="P133" s="291">
        <f t="shared" si="120"/>
        <v>112500</v>
      </c>
      <c r="Q133" s="289">
        <f t="shared" si="121"/>
        <v>0</v>
      </c>
      <c r="R133" s="251">
        <f t="shared" si="122"/>
        <v>2.2872073877285747E-2</v>
      </c>
      <c r="S133" s="251">
        <f t="shared" si="123"/>
        <v>0</v>
      </c>
      <c r="T133" s="407"/>
    </row>
    <row r="134" spans="1:20" ht="17.25" customHeight="1">
      <c r="A134" s="243">
        <f t="shared" si="56"/>
        <v>124</v>
      </c>
      <c r="B134" s="302"/>
      <c r="C134" s="303" t="s">
        <v>37</v>
      </c>
      <c r="D134" s="231"/>
      <c r="E134" s="245" t="s">
        <v>101</v>
      </c>
      <c r="F134" s="290">
        <f>'Annual Budget '!G134</f>
        <v>0</v>
      </c>
      <c r="G134" s="398"/>
      <c r="H134" s="291">
        <f t="shared" si="116"/>
        <v>0</v>
      </c>
      <c r="I134" s="393"/>
      <c r="J134" s="290">
        <f>'Annual Budget '!I134</f>
        <v>0</v>
      </c>
      <c r="K134" s="398"/>
      <c r="L134" s="291">
        <f t="shared" si="117"/>
        <v>0</v>
      </c>
      <c r="M134" s="399"/>
      <c r="N134" s="290">
        <f t="shared" si="118"/>
        <v>0</v>
      </c>
      <c r="O134" s="291">
        <f t="shared" si="119"/>
        <v>0</v>
      </c>
      <c r="P134" s="291">
        <f t="shared" si="120"/>
        <v>0</v>
      </c>
      <c r="Q134" s="289">
        <f t="shared" si="121"/>
        <v>0</v>
      </c>
      <c r="R134" s="251">
        <f t="shared" si="122"/>
        <v>0</v>
      </c>
      <c r="S134" s="251" t="str">
        <f t="shared" si="123"/>
        <v/>
      </c>
      <c r="T134" s="407"/>
    </row>
    <row r="135" spans="1:20" ht="17.25" customHeight="1">
      <c r="A135" s="243">
        <f t="shared" si="56"/>
        <v>125</v>
      </c>
      <c r="B135" s="302"/>
      <c r="C135" s="244" t="s">
        <v>72</v>
      </c>
      <c r="D135" s="231"/>
      <c r="E135" s="245" t="s">
        <v>132</v>
      </c>
      <c r="F135" s="290">
        <f>'Annual Budget '!G135</f>
        <v>37500</v>
      </c>
      <c r="G135" s="398"/>
      <c r="H135" s="291">
        <f t="shared" si="116"/>
        <v>37500</v>
      </c>
      <c r="I135" s="393"/>
      <c r="J135" s="290">
        <f>'Annual Budget '!I135</f>
        <v>0</v>
      </c>
      <c r="K135" s="398"/>
      <c r="L135" s="291">
        <f t="shared" si="117"/>
        <v>0</v>
      </c>
      <c r="M135" s="399"/>
      <c r="N135" s="290">
        <f t="shared" si="118"/>
        <v>37500</v>
      </c>
      <c r="O135" s="291">
        <f t="shared" si="119"/>
        <v>0</v>
      </c>
      <c r="P135" s="291">
        <f t="shared" si="120"/>
        <v>37500</v>
      </c>
      <c r="Q135" s="289">
        <f t="shared" si="121"/>
        <v>0</v>
      </c>
      <c r="R135" s="251">
        <f t="shared" si="122"/>
        <v>7.6240246257619163E-3</v>
      </c>
      <c r="S135" s="251">
        <f t="shared" si="123"/>
        <v>0</v>
      </c>
      <c r="T135" s="407"/>
    </row>
    <row r="136" spans="1:20" ht="15" customHeight="1">
      <c r="A136" s="243">
        <f t="shared" si="56"/>
        <v>126</v>
      </c>
      <c r="B136" s="302"/>
      <c r="C136" s="288" t="s">
        <v>202</v>
      </c>
      <c r="D136" s="231"/>
      <c r="E136" s="245" t="s">
        <v>38</v>
      </c>
      <c r="F136" s="290">
        <f>'Annual Budget '!G136</f>
        <v>57500</v>
      </c>
      <c r="G136" s="398"/>
      <c r="H136" s="291">
        <f t="shared" si="116"/>
        <v>57500</v>
      </c>
      <c r="I136" s="393"/>
      <c r="J136" s="290">
        <f>'Annual Budget '!I136</f>
        <v>0</v>
      </c>
      <c r="K136" s="398"/>
      <c r="L136" s="291">
        <f t="shared" si="117"/>
        <v>0</v>
      </c>
      <c r="M136" s="399"/>
      <c r="N136" s="290">
        <f t="shared" si="118"/>
        <v>57500</v>
      </c>
      <c r="O136" s="291">
        <f t="shared" si="119"/>
        <v>0</v>
      </c>
      <c r="P136" s="291">
        <f t="shared" si="120"/>
        <v>57500</v>
      </c>
      <c r="Q136" s="289">
        <f t="shared" si="121"/>
        <v>0</v>
      </c>
      <c r="R136" s="251">
        <f t="shared" si="122"/>
        <v>1.1690171092834939E-2</v>
      </c>
      <c r="S136" s="251">
        <f t="shared" si="123"/>
        <v>0</v>
      </c>
      <c r="T136" s="407"/>
    </row>
    <row r="137" spans="1:20" ht="15" customHeight="1">
      <c r="A137" s="256">
        <f t="shared" si="56"/>
        <v>127</v>
      </c>
      <c r="B137" s="257"/>
      <c r="C137" s="257" t="s">
        <v>84</v>
      </c>
      <c r="D137" s="341"/>
      <c r="E137" s="293">
        <v>600</v>
      </c>
      <c r="F137" s="294">
        <f>SUM(F132:F136)</f>
        <v>396250</v>
      </c>
      <c r="G137" s="295">
        <f t="shared" ref="G137:Q137" si="124">SUM(G132:G136)</f>
        <v>0</v>
      </c>
      <c r="H137" s="295">
        <f t="shared" si="124"/>
        <v>396250</v>
      </c>
      <c r="I137" s="296">
        <f t="shared" si="124"/>
        <v>0</v>
      </c>
      <c r="J137" s="294">
        <f t="shared" si="124"/>
        <v>0</v>
      </c>
      <c r="K137" s="295">
        <f t="shared" si="124"/>
        <v>0</v>
      </c>
      <c r="L137" s="295">
        <f t="shared" si="124"/>
        <v>0</v>
      </c>
      <c r="M137" s="296">
        <f t="shared" si="124"/>
        <v>0</v>
      </c>
      <c r="N137" s="294">
        <f t="shared" si="124"/>
        <v>396250</v>
      </c>
      <c r="O137" s="295">
        <f t="shared" si="124"/>
        <v>0</v>
      </c>
      <c r="P137" s="295">
        <f t="shared" si="124"/>
        <v>396250</v>
      </c>
      <c r="Q137" s="297">
        <f t="shared" si="124"/>
        <v>0</v>
      </c>
      <c r="R137" s="263">
        <f t="shared" si="122"/>
        <v>8.056052687888425E-2</v>
      </c>
      <c r="S137" s="263">
        <f t="shared" si="123"/>
        <v>0</v>
      </c>
      <c r="T137" s="408"/>
    </row>
    <row r="138" spans="1:20" ht="15" customHeight="1">
      <c r="A138" s="234">
        <f t="shared" si="56"/>
        <v>128</v>
      </c>
      <c r="B138" s="235" t="s">
        <v>85</v>
      </c>
      <c r="C138" s="235"/>
      <c r="D138" s="236"/>
      <c r="E138" s="237"/>
      <c r="F138" s="299"/>
      <c r="G138" s="300"/>
      <c r="H138" s="300"/>
      <c r="I138" s="240"/>
      <c r="J138" s="299"/>
      <c r="K138" s="300"/>
      <c r="L138" s="300"/>
      <c r="M138" s="301"/>
      <c r="N138" s="299"/>
      <c r="O138" s="300"/>
      <c r="P138" s="300"/>
      <c r="Q138" s="289"/>
      <c r="R138" s="251"/>
      <c r="S138" s="251"/>
      <c r="T138" s="414"/>
    </row>
    <row r="139" spans="1:20" ht="15" customHeight="1">
      <c r="A139" s="243">
        <f t="shared" si="56"/>
        <v>129</v>
      </c>
      <c r="B139" s="302"/>
      <c r="C139" s="288" t="s">
        <v>122</v>
      </c>
      <c r="D139" s="231"/>
      <c r="E139" s="245">
        <v>710</v>
      </c>
      <c r="F139" s="290">
        <f>'Annual Budget '!G139</f>
        <v>0</v>
      </c>
      <c r="G139" s="398"/>
      <c r="H139" s="291">
        <f t="shared" ref="H139:H142" si="125">SUM(F139:G139)</f>
        <v>0</v>
      </c>
      <c r="I139" s="393"/>
      <c r="J139" s="290">
        <f>'Annual Budget '!I139</f>
        <v>0</v>
      </c>
      <c r="K139" s="398"/>
      <c r="L139" s="291">
        <f t="shared" ref="L139:L142" si="126">SUM(J139:K139)</f>
        <v>0</v>
      </c>
      <c r="M139" s="399"/>
      <c r="N139" s="290">
        <f t="shared" ref="N139:N142" si="127">F139+J139</f>
        <v>0</v>
      </c>
      <c r="O139" s="291">
        <f t="shared" ref="O139:O142" si="128">K139+G139</f>
        <v>0</v>
      </c>
      <c r="P139" s="291">
        <f t="shared" ref="P139:P142" si="129">SUM(N139:O139)</f>
        <v>0</v>
      </c>
      <c r="Q139" s="289">
        <f t="shared" ref="Q139:Q142" si="130">M139+I139</f>
        <v>0</v>
      </c>
      <c r="R139" s="251">
        <f t="shared" ref="R139:R143" si="131">P139/$P$156</f>
        <v>0</v>
      </c>
      <c r="S139" s="251" t="str">
        <f t="shared" ref="S139:S143" si="132">IFERROR(Q139/P139,"")</f>
        <v/>
      </c>
      <c r="T139" s="407"/>
    </row>
    <row r="140" spans="1:20" ht="17.25" customHeight="1">
      <c r="A140" s="243">
        <f t="shared" si="56"/>
        <v>130</v>
      </c>
      <c r="B140" s="302"/>
      <c r="C140" s="288" t="s">
        <v>73</v>
      </c>
      <c r="D140" s="231"/>
      <c r="E140" s="245">
        <v>720</v>
      </c>
      <c r="F140" s="290">
        <f>'Annual Budget '!G140</f>
        <v>0</v>
      </c>
      <c r="G140" s="398"/>
      <c r="H140" s="291">
        <f t="shared" si="125"/>
        <v>0</v>
      </c>
      <c r="I140" s="393"/>
      <c r="J140" s="290">
        <f>'Annual Budget '!I140</f>
        <v>0</v>
      </c>
      <c r="K140" s="398"/>
      <c r="L140" s="291">
        <f t="shared" si="126"/>
        <v>0</v>
      </c>
      <c r="M140" s="399"/>
      <c r="N140" s="290">
        <f t="shared" si="127"/>
        <v>0</v>
      </c>
      <c r="O140" s="291">
        <f t="shared" si="128"/>
        <v>0</v>
      </c>
      <c r="P140" s="291">
        <f t="shared" si="129"/>
        <v>0</v>
      </c>
      <c r="Q140" s="289">
        <f t="shared" si="130"/>
        <v>0</v>
      </c>
      <c r="R140" s="251">
        <f t="shared" si="131"/>
        <v>0</v>
      </c>
      <c r="S140" s="251" t="str">
        <f t="shared" si="132"/>
        <v/>
      </c>
      <c r="T140" s="407"/>
    </row>
    <row r="141" spans="1:20" ht="17.25" customHeight="1">
      <c r="A141" s="243">
        <f t="shared" si="56"/>
        <v>131</v>
      </c>
      <c r="B141" s="302"/>
      <c r="C141" s="303" t="s">
        <v>19</v>
      </c>
      <c r="D141" s="231"/>
      <c r="E141" s="245" t="s">
        <v>123</v>
      </c>
      <c r="F141" s="290">
        <f>'Annual Budget '!G141</f>
        <v>0</v>
      </c>
      <c r="G141" s="398"/>
      <c r="H141" s="291">
        <f t="shared" si="125"/>
        <v>0</v>
      </c>
      <c r="I141" s="393"/>
      <c r="J141" s="290">
        <f>'Annual Budget '!I141</f>
        <v>0</v>
      </c>
      <c r="K141" s="398"/>
      <c r="L141" s="291">
        <f t="shared" si="126"/>
        <v>0</v>
      </c>
      <c r="M141" s="399"/>
      <c r="N141" s="290">
        <f t="shared" si="127"/>
        <v>0</v>
      </c>
      <c r="O141" s="291">
        <f t="shared" si="128"/>
        <v>0</v>
      </c>
      <c r="P141" s="291">
        <f t="shared" si="129"/>
        <v>0</v>
      </c>
      <c r="Q141" s="289">
        <f t="shared" si="130"/>
        <v>0</v>
      </c>
      <c r="R141" s="251">
        <f t="shared" si="131"/>
        <v>0</v>
      </c>
      <c r="S141" s="251" t="str">
        <f t="shared" si="132"/>
        <v/>
      </c>
      <c r="T141" s="407"/>
    </row>
    <row r="142" spans="1:20" ht="14.25" customHeight="1">
      <c r="A142" s="243">
        <f t="shared" ref="A142:A156" si="133">A141+1</f>
        <v>132</v>
      </c>
      <c r="B142" s="244"/>
      <c r="C142" s="303" t="s">
        <v>203</v>
      </c>
      <c r="D142" s="231"/>
      <c r="E142" s="245" t="s">
        <v>124</v>
      </c>
      <c r="F142" s="290">
        <f>'Annual Budget '!G142</f>
        <v>0</v>
      </c>
      <c r="G142" s="398"/>
      <c r="H142" s="291">
        <f t="shared" si="125"/>
        <v>0</v>
      </c>
      <c r="I142" s="393"/>
      <c r="J142" s="290">
        <f>'Annual Budget '!I142</f>
        <v>0</v>
      </c>
      <c r="K142" s="398"/>
      <c r="L142" s="291">
        <f t="shared" si="126"/>
        <v>0</v>
      </c>
      <c r="M142" s="399"/>
      <c r="N142" s="290">
        <f t="shared" si="127"/>
        <v>0</v>
      </c>
      <c r="O142" s="291">
        <f t="shared" si="128"/>
        <v>0</v>
      </c>
      <c r="P142" s="291">
        <f t="shared" si="129"/>
        <v>0</v>
      </c>
      <c r="Q142" s="289">
        <f t="shared" si="130"/>
        <v>0</v>
      </c>
      <c r="R142" s="251">
        <f t="shared" si="131"/>
        <v>0</v>
      </c>
      <c r="S142" s="251" t="str">
        <f t="shared" si="132"/>
        <v/>
      </c>
      <c r="T142" s="407"/>
    </row>
    <row r="143" spans="1:20" ht="15" customHeight="1">
      <c r="A143" s="256">
        <f t="shared" si="133"/>
        <v>133</v>
      </c>
      <c r="B143" s="257"/>
      <c r="C143" s="257" t="s">
        <v>86</v>
      </c>
      <c r="D143" s="341"/>
      <c r="E143" s="293">
        <v>700</v>
      </c>
      <c r="F143" s="294">
        <f>SUM(F139:F142)</f>
        <v>0</v>
      </c>
      <c r="G143" s="295">
        <f t="shared" ref="G143:Q143" si="134">SUM(G139:G142)</f>
        <v>0</v>
      </c>
      <c r="H143" s="295">
        <f t="shared" si="134"/>
        <v>0</v>
      </c>
      <c r="I143" s="296">
        <f t="shared" si="134"/>
        <v>0</v>
      </c>
      <c r="J143" s="294">
        <f t="shared" si="134"/>
        <v>0</v>
      </c>
      <c r="K143" s="295">
        <f t="shared" si="134"/>
        <v>0</v>
      </c>
      <c r="L143" s="295">
        <f t="shared" si="134"/>
        <v>0</v>
      </c>
      <c r="M143" s="296">
        <f t="shared" si="134"/>
        <v>0</v>
      </c>
      <c r="N143" s="294">
        <f t="shared" si="134"/>
        <v>0</v>
      </c>
      <c r="O143" s="295">
        <f t="shared" si="134"/>
        <v>0</v>
      </c>
      <c r="P143" s="295">
        <f t="shared" si="134"/>
        <v>0</v>
      </c>
      <c r="Q143" s="297">
        <f t="shared" si="134"/>
        <v>0</v>
      </c>
      <c r="R143" s="263">
        <f t="shared" si="131"/>
        <v>0</v>
      </c>
      <c r="S143" s="263" t="str">
        <f t="shared" si="132"/>
        <v/>
      </c>
      <c r="T143" s="408"/>
    </row>
    <row r="144" spans="1:20" ht="15" customHeight="1">
      <c r="A144" s="234">
        <f t="shared" si="133"/>
        <v>134</v>
      </c>
      <c r="B144" s="235" t="s">
        <v>87</v>
      </c>
      <c r="C144" s="235"/>
      <c r="D144" s="236"/>
      <c r="E144" s="237"/>
      <c r="F144" s="299"/>
      <c r="G144" s="300"/>
      <c r="H144" s="300"/>
      <c r="I144" s="240"/>
      <c r="J144" s="299"/>
      <c r="K144" s="300"/>
      <c r="L144" s="300"/>
      <c r="M144" s="301"/>
      <c r="N144" s="299"/>
      <c r="O144" s="300"/>
      <c r="P144" s="300"/>
      <c r="Q144" s="289"/>
      <c r="R144" s="251"/>
      <c r="S144" s="251"/>
      <c r="T144" s="414"/>
    </row>
    <row r="145" spans="1:20" ht="15" customHeight="1">
      <c r="A145" s="243">
        <f t="shared" si="133"/>
        <v>135</v>
      </c>
      <c r="B145" s="302"/>
      <c r="C145" s="303" t="s">
        <v>144</v>
      </c>
      <c r="D145" s="231"/>
      <c r="E145" s="245">
        <v>810</v>
      </c>
      <c r="F145" s="290">
        <f>'Annual Budget '!G145</f>
        <v>71000</v>
      </c>
      <c r="G145" s="398"/>
      <c r="H145" s="291">
        <f t="shared" ref="H145:H149" si="135">SUM(F145:G145)</f>
        <v>71000</v>
      </c>
      <c r="I145" s="393"/>
      <c r="J145" s="290">
        <f>'Annual Budget '!I145</f>
        <v>0</v>
      </c>
      <c r="K145" s="398"/>
      <c r="L145" s="291">
        <f t="shared" ref="L145:L149" si="136">SUM(J145:K145)</f>
        <v>0</v>
      </c>
      <c r="M145" s="399"/>
      <c r="N145" s="290">
        <f t="shared" ref="N145:N149" si="137">F145+J145</f>
        <v>71000</v>
      </c>
      <c r="O145" s="291">
        <f t="shared" ref="O145:O149" si="138">K145+G145</f>
        <v>0</v>
      </c>
      <c r="P145" s="291">
        <f t="shared" ref="P145:P149" si="139">SUM(N145:O145)</f>
        <v>71000</v>
      </c>
      <c r="Q145" s="289">
        <f t="shared" ref="Q145:Q149" si="140">M145+I145</f>
        <v>0</v>
      </c>
      <c r="R145" s="251">
        <f t="shared" ref="R145:R149" si="141">P145/$P$156</f>
        <v>1.4434819958109229E-2</v>
      </c>
      <c r="S145" s="251">
        <f t="shared" ref="S145:S150" si="142">IFERROR(Q145/P145,"")</f>
        <v>0</v>
      </c>
      <c r="T145" s="407"/>
    </row>
    <row r="146" spans="1:20" ht="15" customHeight="1">
      <c r="A146" s="243">
        <f t="shared" si="133"/>
        <v>136</v>
      </c>
      <c r="B146" s="302"/>
      <c r="C146" s="303" t="s">
        <v>145</v>
      </c>
      <c r="D146" s="231"/>
      <c r="E146" s="245">
        <v>810</v>
      </c>
      <c r="F146" s="290">
        <f>'Annual Budget '!G146</f>
        <v>0</v>
      </c>
      <c r="G146" s="398"/>
      <c r="H146" s="291">
        <f t="shared" si="135"/>
        <v>0</v>
      </c>
      <c r="I146" s="393"/>
      <c r="J146" s="290">
        <f>'Annual Budget '!I146</f>
        <v>0</v>
      </c>
      <c r="K146" s="398"/>
      <c r="L146" s="291">
        <f t="shared" si="136"/>
        <v>0</v>
      </c>
      <c r="M146" s="399"/>
      <c r="N146" s="290">
        <f t="shared" si="137"/>
        <v>0</v>
      </c>
      <c r="O146" s="291">
        <f t="shared" si="138"/>
        <v>0</v>
      </c>
      <c r="P146" s="291">
        <f t="shared" si="139"/>
        <v>0</v>
      </c>
      <c r="Q146" s="289">
        <f t="shared" si="140"/>
        <v>0</v>
      </c>
      <c r="R146" s="251">
        <f t="shared" si="141"/>
        <v>0</v>
      </c>
      <c r="S146" s="251" t="str">
        <f t="shared" si="142"/>
        <v/>
      </c>
      <c r="T146" s="407"/>
    </row>
    <row r="147" spans="1:20" ht="17.25" customHeight="1">
      <c r="A147" s="243">
        <f t="shared" si="133"/>
        <v>137</v>
      </c>
      <c r="B147" s="302"/>
      <c r="C147" s="288" t="s">
        <v>25</v>
      </c>
      <c r="D147" s="231"/>
      <c r="E147" s="245">
        <v>830</v>
      </c>
      <c r="F147" s="290">
        <f>'Annual Budget '!G147</f>
        <v>0</v>
      </c>
      <c r="G147" s="398"/>
      <c r="H147" s="291">
        <f t="shared" si="135"/>
        <v>0</v>
      </c>
      <c r="I147" s="393"/>
      <c r="J147" s="290">
        <f>'Annual Budget '!I147</f>
        <v>0</v>
      </c>
      <c r="K147" s="398"/>
      <c r="L147" s="291">
        <f t="shared" si="136"/>
        <v>0</v>
      </c>
      <c r="M147" s="399"/>
      <c r="N147" s="290">
        <f t="shared" si="137"/>
        <v>0</v>
      </c>
      <c r="O147" s="291">
        <f t="shared" si="138"/>
        <v>0</v>
      </c>
      <c r="P147" s="291">
        <f t="shared" si="139"/>
        <v>0</v>
      </c>
      <c r="Q147" s="289">
        <f t="shared" si="140"/>
        <v>0</v>
      </c>
      <c r="R147" s="251">
        <f t="shared" si="141"/>
        <v>0</v>
      </c>
      <c r="S147" s="251" t="str">
        <f t="shared" si="142"/>
        <v/>
      </c>
      <c r="T147" s="407"/>
    </row>
    <row r="148" spans="1:20" ht="17.25" customHeight="1">
      <c r="A148" s="243">
        <f t="shared" si="133"/>
        <v>138</v>
      </c>
      <c r="B148" s="302"/>
      <c r="C148" s="288" t="s">
        <v>127</v>
      </c>
      <c r="D148" s="231"/>
      <c r="E148" s="245">
        <v>831</v>
      </c>
      <c r="F148" s="290">
        <f>'Annual Budget '!G148</f>
        <v>0</v>
      </c>
      <c r="G148" s="398"/>
      <c r="H148" s="291">
        <f t="shared" si="135"/>
        <v>0</v>
      </c>
      <c r="I148" s="393"/>
      <c r="J148" s="290">
        <f>'Annual Budget '!I148</f>
        <v>0</v>
      </c>
      <c r="K148" s="398"/>
      <c r="L148" s="291">
        <f t="shared" si="136"/>
        <v>0</v>
      </c>
      <c r="M148" s="399"/>
      <c r="N148" s="290">
        <f t="shared" si="137"/>
        <v>0</v>
      </c>
      <c r="O148" s="291">
        <f t="shared" si="138"/>
        <v>0</v>
      </c>
      <c r="P148" s="291">
        <f t="shared" si="139"/>
        <v>0</v>
      </c>
      <c r="Q148" s="289">
        <f t="shared" si="140"/>
        <v>0</v>
      </c>
      <c r="R148" s="251">
        <f t="shared" si="141"/>
        <v>0</v>
      </c>
      <c r="S148" s="251" t="str">
        <f t="shared" si="142"/>
        <v/>
      </c>
      <c r="T148" s="407"/>
    </row>
    <row r="149" spans="1:20" ht="15" customHeight="1">
      <c r="A149" s="243">
        <f t="shared" si="133"/>
        <v>139</v>
      </c>
      <c r="B149" s="302"/>
      <c r="C149" s="288" t="s">
        <v>204</v>
      </c>
      <c r="D149" s="231"/>
      <c r="E149" s="245" t="s">
        <v>125</v>
      </c>
      <c r="F149" s="290">
        <f>'Annual Budget '!G149</f>
        <v>0</v>
      </c>
      <c r="G149" s="398"/>
      <c r="H149" s="291">
        <f t="shared" si="135"/>
        <v>0</v>
      </c>
      <c r="I149" s="393"/>
      <c r="J149" s="290">
        <f>'Annual Budget '!I149</f>
        <v>0</v>
      </c>
      <c r="K149" s="398"/>
      <c r="L149" s="291">
        <f t="shared" si="136"/>
        <v>0</v>
      </c>
      <c r="M149" s="399"/>
      <c r="N149" s="290">
        <f t="shared" si="137"/>
        <v>0</v>
      </c>
      <c r="O149" s="291">
        <f t="shared" si="138"/>
        <v>0</v>
      </c>
      <c r="P149" s="291">
        <f t="shared" si="139"/>
        <v>0</v>
      </c>
      <c r="Q149" s="289">
        <f t="shared" si="140"/>
        <v>0</v>
      </c>
      <c r="R149" s="251">
        <f t="shared" si="141"/>
        <v>0</v>
      </c>
      <c r="S149" s="251" t="str">
        <f t="shared" si="142"/>
        <v/>
      </c>
      <c r="T149" s="407"/>
    </row>
    <row r="150" spans="1:20" ht="15" customHeight="1">
      <c r="A150" s="243">
        <f t="shared" si="133"/>
        <v>140</v>
      </c>
      <c r="B150" s="257"/>
      <c r="C150" s="257" t="s">
        <v>88</v>
      </c>
      <c r="D150" s="341"/>
      <c r="E150" s="293">
        <v>800</v>
      </c>
      <c r="F150" s="294">
        <f>SUM(F145:F149)</f>
        <v>71000</v>
      </c>
      <c r="G150" s="295">
        <f t="shared" ref="G150:Q150" si="143">SUM(G145:G149)</f>
        <v>0</v>
      </c>
      <c r="H150" s="295">
        <f t="shared" si="143"/>
        <v>71000</v>
      </c>
      <c r="I150" s="296">
        <f t="shared" si="143"/>
        <v>0</v>
      </c>
      <c r="J150" s="294">
        <f t="shared" si="143"/>
        <v>0</v>
      </c>
      <c r="K150" s="295">
        <f t="shared" si="143"/>
        <v>0</v>
      </c>
      <c r="L150" s="295">
        <f t="shared" si="143"/>
        <v>0</v>
      </c>
      <c r="M150" s="296">
        <f t="shared" si="143"/>
        <v>0</v>
      </c>
      <c r="N150" s="294">
        <f t="shared" si="143"/>
        <v>71000</v>
      </c>
      <c r="O150" s="295">
        <f t="shared" si="143"/>
        <v>0</v>
      </c>
      <c r="P150" s="295">
        <f t="shared" si="143"/>
        <v>71000</v>
      </c>
      <c r="Q150" s="297">
        <f t="shared" si="143"/>
        <v>0</v>
      </c>
      <c r="R150" s="263">
        <f t="shared" ref="R150" si="144">P150/$P$156</f>
        <v>1.4434819958109229E-2</v>
      </c>
      <c r="S150" s="263">
        <f t="shared" si="142"/>
        <v>0</v>
      </c>
      <c r="T150" s="408"/>
    </row>
    <row r="151" spans="1:20" ht="15" customHeight="1">
      <c r="A151" s="342">
        <f t="shared" si="133"/>
        <v>141</v>
      </c>
      <c r="B151" s="235" t="s">
        <v>90</v>
      </c>
      <c r="C151" s="235"/>
      <c r="D151" s="236"/>
      <c r="E151" s="237"/>
      <c r="F151" s="299"/>
      <c r="G151" s="300"/>
      <c r="H151" s="300"/>
      <c r="I151" s="240"/>
      <c r="J151" s="299"/>
      <c r="K151" s="300"/>
      <c r="L151" s="300"/>
      <c r="M151" s="301"/>
      <c r="N151" s="299"/>
      <c r="O151" s="300"/>
      <c r="P151" s="300"/>
      <c r="Q151" s="289"/>
      <c r="R151" s="251"/>
      <c r="S151" s="251"/>
      <c r="T151" s="414"/>
    </row>
    <row r="152" spans="1:20" ht="17.25" customHeight="1">
      <c r="A152" s="243">
        <f t="shared" si="133"/>
        <v>142</v>
      </c>
      <c r="B152" s="302"/>
      <c r="C152" s="244" t="s">
        <v>20</v>
      </c>
      <c r="D152" s="231"/>
      <c r="E152" s="245">
        <v>933</v>
      </c>
      <c r="F152" s="290">
        <f>'Annual Budget '!G152</f>
        <v>0</v>
      </c>
      <c r="G152" s="398"/>
      <c r="H152" s="291">
        <f t="shared" ref="H152:H154" si="145">SUM(F152:G152)</f>
        <v>0</v>
      </c>
      <c r="I152" s="393"/>
      <c r="J152" s="290">
        <f>'Annual Budget '!I152</f>
        <v>0</v>
      </c>
      <c r="K152" s="398"/>
      <c r="L152" s="291">
        <f t="shared" ref="L152:L154" si="146">SUM(J152:K152)</f>
        <v>0</v>
      </c>
      <c r="M152" s="399"/>
      <c r="N152" s="290">
        <f t="shared" ref="N152:N154" si="147">F152+J152</f>
        <v>0</v>
      </c>
      <c r="O152" s="291">
        <f t="shared" ref="O152:O154" si="148">K152+G152</f>
        <v>0</v>
      </c>
      <c r="P152" s="291">
        <f t="shared" ref="P152:P154" si="149">SUM(N152:O152)</f>
        <v>0</v>
      </c>
      <c r="Q152" s="289">
        <f t="shared" ref="Q152:Q154" si="150">M152+I152</f>
        <v>0</v>
      </c>
      <c r="R152" s="251">
        <f t="shared" ref="R152:R155" si="151">P152/$P$156</f>
        <v>0</v>
      </c>
      <c r="S152" s="251" t="str">
        <f t="shared" ref="S152:S156" si="152">IFERROR(Q152/P152,"")</f>
        <v/>
      </c>
      <c r="T152" s="407"/>
    </row>
    <row r="153" spans="1:20" ht="17.25" customHeight="1">
      <c r="A153" s="243">
        <f t="shared" si="133"/>
        <v>143</v>
      </c>
      <c r="B153" s="302"/>
      <c r="C153" s="244" t="s">
        <v>205</v>
      </c>
      <c r="D153" s="231"/>
      <c r="E153" s="245" t="s">
        <v>126</v>
      </c>
      <c r="F153" s="290">
        <f>'Annual Budget '!G153</f>
        <v>0</v>
      </c>
      <c r="G153" s="398"/>
      <c r="H153" s="291">
        <f t="shared" si="145"/>
        <v>0</v>
      </c>
      <c r="I153" s="393"/>
      <c r="J153" s="290">
        <f>'Annual Budget '!I153</f>
        <v>0</v>
      </c>
      <c r="K153" s="398"/>
      <c r="L153" s="291">
        <f t="shared" si="146"/>
        <v>0</v>
      </c>
      <c r="M153" s="399"/>
      <c r="N153" s="290">
        <f t="shared" si="147"/>
        <v>0</v>
      </c>
      <c r="O153" s="291">
        <f t="shared" si="148"/>
        <v>0</v>
      </c>
      <c r="P153" s="291">
        <f t="shared" si="149"/>
        <v>0</v>
      </c>
      <c r="Q153" s="289">
        <f t="shared" si="150"/>
        <v>0</v>
      </c>
      <c r="R153" s="251">
        <f t="shared" si="151"/>
        <v>0</v>
      </c>
      <c r="S153" s="251" t="str">
        <f t="shared" si="152"/>
        <v/>
      </c>
      <c r="T153" s="407"/>
    </row>
    <row r="154" spans="1:20" ht="15" customHeight="1">
      <c r="A154" s="243">
        <f t="shared" si="133"/>
        <v>144</v>
      </c>
      <c r="B154" s="396"/>
      <c r="C154" s="403"/>
      <c r="D154" s="394"/>
      <c r="E154" s="395"/>
      <c r="F154" s="290">
        <f>'Annual Budget '!G154</f>
        <v>-185000</v>
      </c>
      <c r="G154" s="398"/>
      <c r="H154" s="291">
        <f t="shared" si="145"/>
        <v>-185000</v>
      </c>
      <c r="I154" s="393"/>
      <c r="J154" s="290">
        <f>'Annual Budget '!I154</f>
        <v>0</v>
      </c>
      <c r="K154" s="398"/>
      <c r="L154" s="291">
        <f t="shared" si="146"/>
        <v>0</v>
      </c>
      <c r="M154" s="399"/>
      <c r="N154" s="290">
        <f t="shared" si="147"/>
        <v>-185000</v>
      </c>
      <c r="O154" s="291">
        <f t="shared" si="148"/>
        <v>0</v>
      </c>
      <c r="P154" s="291">
        <f t="shared" si="149"/>
        <v>-185000</v>
      </c>
      <c r="Q154" s="289">
        <f t="shared" si="150"/>
        <v>0</v>
      </c>
      <c r="R154" s="251">
        <f t="shared" si="151"/>
        <v>-3.761185482042545E-2</v>
      </c>
      <c r="S154" s="251">
        <f t="shared" si="152"/>
        <v>0</v>
      </c>
      <c r="T154" s="407"/>
    </row>
    <row r="155" spans="1:20" ht="21" customHeight="1">
      <c r="A155" s="343">
        <f t="shared" si="133"/>
        <v>145</v>
      </c>
      <c r="B155" s="257"/>
      <c r="C155" s="257" t="s">
        <v>89</v>
      </c>
      <c r="D155" s="258"/>
      <c r="E155" s="293">
        <v>900</v>
      </c>
      <c r="F155" s="294">
        <f>SUM(F152:F154)</f>
        <v>-185000</v>
      </c>
      <c r="G155" s="295">
        <f t="shared" ref="G155:Q155" si="153">SUM(G152:G154)</f>
        <v>0</v>
      </c>
      <c r="H155" s="295">
        <f t="shared" si="153"/>
        <v>-185000</v>
      </c>
      <c r="I155" s="296">
        <f t="shared" si="153"/>
        <v>0</v>
      </c>
      <c r="J155" s="294">
        <f t="shared" si="153"/>
        <v>0</v>
      </c>
      <c r="K155" s="295">
        <f t="shared" si="153"/>
        <v>0</v>
      </c>
      <c r="L155" s="295">
        <f t="shared" si="153"/>
        <v>0</v>
      </c>
      <c r="M155" s="296">
        <f t="shared" si="153"/>
        <v>0</v>
      </c>
      <c r="N155" s="294">
        <f t="shared" si="153"/>
        <v>-185000</v>
      </c>
      <c r="O155" s="295">
        <f t="shared" si="153"/>
        <v>0</v>
      </c>
      <c r="P155" s="295">
        <f t="shared" si="153"/>
        <v>-185000</v>
      </c>
      <c r="Q155" s="297">
        <f t="shared" si="153"/>
        <v>0</v>
      </c>
      <c r="R155" s="345">
        <f t="shared" si="151"/>
        <v>-3.761185482042545E-2</v>
      </c>
      <c r="S155" s="344">
        <f t="shared" si="152"/>
        <v>0</v>
      </c>
      <c r="T155" s="421"/>
    </row>
    <row r="156" spans="1:20" ht="18.75" customHeight="1" thickBot="1">
      <c r="A156" s="220">
        <f t="shared" si="133"/>
        <v>146</v>
      </c>
      <c r="B156" s="189"/>
      <c r="C156" s="189"/>
      <c r="D156" s="200" t="s">
        <v>21</v>
      </c>
      <c r="E156" s="201" t="s">
        <v>22</v>
      </c>
      <c r="F156" s="222">
        <f>F97+F106+F112+F119+F130+F137+F143+F150+F155</f>
        <v>3297031.9719571527</v>
      </c>
      <c r="G156" s="225">
        <f t="shared" ref="G156:Q156" si="154">G97+G106+G112+G119+G130+G137+G143+G150+G155</f>
        <v>0</v>
      </c>
      <c r="H156" s="225">
        <f t="shared" si="154"/>
        <v>3297031.9719571527</v>
      </c>
      <c r="I156" s="193">
        <f t="shared" si="154"/>
        <v>0</v>
      </c>
      <c r="J156" s="222">
        <f t="shared" si="154"/>
        <v>1621630</v>
      </c>
      <c r="K156" s="225">
        <f t="shared" si="154"/>
        <v>0</v>
      </c>
      <c r="L156" s="225">
        <f t="shared" si="154"/>
        <v>1621630</v>
      </c>
      <c r="M156" s="193">
        <f t="shared" si="154"/>
        <v>0</v>
      </c>
      <c r="N156" s="222">
        <f t="shared" si="154"/>
        <v>4918661.9719571527</v>
      </c>
      <c r="O156" s="225">
        <f t="shared" si="154"/>
        <v>0</v>
      </c>
      <c r="P156" s="225">
        <f t="shared" si="154"/>
        <v>4918661.9719571527</v>
      </c>
      <c r="Q156" s="192">
        <f t="shared" si="154"/>
        <v>0</v>
      </c>
      <c r="R156" s="194">
        <f t="shared" ref="R156" si="155">P156/$P$156</f>
        <v>1</v>
      </c>
      <c r="S156" s="194">
        <f t="shared" si="152"/>
        <v>0</v>
      </c>
      <c r="T156" s="415"/>
    </row>
    <row r="157" spans="1:20" ht="18.75" customHeight="1" thickTop="1" thickBot="1">
      <c r="A157" s="132"/>
      <c r="B157" s="71"/>
      <c r="C157" s="71"/>
      <c r="D157" s="71"/>
      <c r="E157" s="72"/>
      <c r="F157" s="1"/>
      <c r="G157" s="1"/>
      <c r="H157" s="1"/>
      <c r="I157" s="73"/>
      <c r="J157" s="1"/>
      <c r="K157" s="1"/>
      <c r="L157" s="1"/>
      <c r="M157" s="1"/>
      <c r="N157" s="1"/>
      <c r="O157" s="1"/>
      <c r="P157" s="1"/>
      <c r="Q157" s="69"/>
      <c r="R157" s="69"/>
      <c r="S157" s="69"/>
      <c r="T157" s="69"/>
    </row>
    <row r="158" spans="1:20" ht="18.75" customHeight="1" thickTop="1">
      <c r="A158" s="132"/>
      <c r="B158" s="69"/>
      <c r="C158" s="72"/>
      <c r="D158" s="212"/>
      <c r="E158" s="213" t="s">
        <v>105</v>
      </c>
      <c r="F158" s="202">
        <f>F85-F156</f>
        <v>1752.2607350004837</v>
      </c>
      <c r="G158" s="203">
        <f t="shared" ref="G158:Q158" si="156">G85-G156</f>
        <v>0</v>
      </c>
      <c r="H158" s="203">
        <f t="shared" si="156"/>
        <v>1752.2607350004837</v>
      </c>
      <c r="I158" s="203">
        <f t="shared" si="156"/>
        <v>0</v>
      </c>
      <c r="J158" s="203">
        <f t="shared" si="156"/>
        <v>0.27514648460783064</v>
      </c>
      <c r="K158" s="203">
        <f t="shared" si="156"/>
        <v>0</v>
      </c>
      <c r="L158" s="203">
        <f t="shared" si="156"/>
        <v>0.27514648460783064</v>
      </c>
      <c r="M158" s="203">
        <f t="shared" si="156"/>
        <v>0</v>
      </c>
      <c r="N158" s="203">
        <f t="shared" si="156"/>
        <v>1752.5358814848587</v>
      </c>
      <c r="O158" s="203">
        <f t="shared" si="156"/>
        <v>0</v>
      </c>
      <c r="P158" s="203">
        <f t="shared" si="156"/>
        <v>1752.5358814848587</v>
      </c>
      <c r="Q158" s="204">
        <f t="shared" si="156"/>
        <v>0</v>
      </c>
      <c r="R158" s="69"/>
      <c r="S158" s="69"/>
      <c r="T158" s="210" t="s">
        <v>158</v>
      </c>
    </row>
    <row r="159" spans="1:20" ht="18.75" customHeight="1" thickBot="1">
      <c r="A159" s="132"/>
      <c r="B159" s="69"/>
      <c r="C159" s="72"/>
      <c r="D159" s="214"/>
      <c r="E159" s="215" t="s">
        <v>106</v>
      </c>
      <c r="F159" s="205">
        <f>'Annual Budget '!G159</f>
        <v>2104436.13</v>
      </c>
      <c r="G159" s="38"/>
      <c r="H159" s="38">
        <f>F159</f>
        <v>2104436.13</v>
      </c>
      <c r="I159" s="38"/>
      <c r="J159" s="38">
        <f>'Annual Budget '!I159</f>
        <v>0</v>
      </c>
      <c r="K159" s="38"/>
      <c r="L159" s="38">
        <f>J159</f>
        <v>0</v>
      </c>
      <c r="M159" s="38"/>
      <c r="N159" s="38">
        <f>F159+J159</f>
        <v>2104436.13</v>
      </c>
      <c r="O159" s="38"/>
      <c r="P159" s="38">
        <f>N159</f>
        <v>2104436.13</v>
      </c>
      <c r="Q159" s="206"/>
      <c r="R159" s="69"/>
      <c r="S159" s="69"/>
      <c r="T159" s="211">
        <f>H160/H85</f>
        <v>0.63847412930555025</v>
      </c>
    </row>
    <row r="160" spans="1:20" ht="15" customHeight="1" thickTop="1" thickBot="1">
      <c r="A160" s="132"/>
      <c r="B160" s="69"/>
      <c r="C160" s="72"/>
      <c r="D160" s="216"/>
      <c r="E160" s="217" t="s">
        <v>107</v>
      </c>
      <c r="F160" s="207">
        <f>SUM(F158:F159)</f>
        <v>2106188.3907350004</v>
      </c>
      <c r="G160" s="208">
        <f t="shared" ref="G160:Q160" si="157">SUM(G158:G159)</f>
        <v>0</v>
      </c>
      <c r="H160" s="208">
        <f t="shared" si="157"/>
        <v>2106188.3907350004</v>
      </c>
      <c r="I160" s="208">
        <f t="shared" si="157"/>
        <v>0</v>
      </c>
      <c r="J160" s="208">
        <f t="shared" si="157"/>
        <v>0.27514648460783064</v>
      </c>
      <c r="K160" s="208">
        <f t="shared" si="157"/>
        <v>0</v>
      </c>
      <c r="L160" s="208">
        <f t="shared" si="157"/>
        <v>0.27514648460783064</v>
      </c>
      <c r="M160" s="208">
        <f t="shared" si="157"/>
        <v>0</v>
      </c>
      <c r="N160" s="208">
        <f t="shared" si="157"/>
        <v>2106188.6658814847</v>
      </c>
      <c r="O160" s="208">
        <f t="shared" si="157"/>
        <v>0</v>
      </c>
      <c r="P160" s="208">
        <f t="shared" si="157"/>
        <v>2106188.6658814847</v>
      </c>
      <c r="Q160" s="209">
        <f t="shared" si="157"/>
        <v>0</v>
      </c>
      <c r="R160" s="69"/>
      <c r="S160" s="69"/>
      <c r="T160" s="69"/>
    </row>
    <row r="161" spans="1:20" ht="15" customHeight="1" thickTop="1">
      <c r="A161" s="70"/>
      <c r="B161" s="69"/>
      <c r="C161" s="72"/>
      <c r="D161" s="74"/>
      <c r="E161" s="81"/>
      <c r="F161" s="82"/>
      <c r="G161" s="82"/>
      <c r="H161" s="82"/>
      <c r="I161" s="82"/>
      <c r="J161" s="82"/>
      <c r="K161" s="82"/>
      <c r="L161" s="82"/>
      <c r="M161" s="82"/>
      <c r="N161" s="82"/>
      <c r="O161" s="82"/>
      <c r="P161" s="82"/>
      <c r="Q161" s="69"/>
      <c r="R161" s="69"/>
      <c r="S161" s="69"/>
      <c r="T161" s="69"/>
    </row>
  </sheetData>
  <mergeCells count="27">
    <mergeCell ref="J1:M1"/>
    <mergeCell ref="R1:S1"/>
    <mergeCell ref="B86:D86"/>
    <mergeCell ref="I8:I10"/>
    <mergeCell ref="F6:I7"/>
    <mergeCell ref="M8:M10"/>
    <mergeCell ref="Q8:Q10"/>
    <mergeCell ref="R8:R10"/>
    <mergeCell ref="S8:S10"/>
    <mergeCell ref="A4:C5"/>
    <mergeCell ref="D4:D5"/>
    <mergeCell ref="T8:T10"/>
    <mergeCell ref="B11:D11"/>
    <mergeCell ref="J8:J10"/>
    <mergeCell ref="K8:K10"/>
    <mergeCell ref="L8:L10"/>
    <mergeCell ref="N8:N10"/>
    <mergeCell ref="O8:O10"/>
    <mergeCell ref="B6:D10"/>
    <mergeCell ref="E6:E7"/>
    <mergeCell ref="E8:E10"/>
    <mergeCell ref="F8:F10"/>
    <mergeCell ref="G8:G10"/>
    <mergeCell ref="H8:H10"/>
    <mergeCell ref="J6:M7"/>
    <mergeCell ref="N6:Q7"/>
    <mergeCell ref="P8:P10"/>
  </mergeCells>
  <printOptions horizontalCentered="1"/>
  <pageMargins left="0" right="0" top="0.5" bottom="0.25" header="0.25" footer="0.15"/>
  <pageSetup paperSize="5" scale="61" orientation="landscape" r:id="rId1"/>
  <headerFooter alignWithMargins="0">
    <oddFooter>&amp;C&amp;"Arial,Regular"&amp;10School System Financial Services&amp;R&amp;"Arial,Regular"&amp;10&amp;P of &amp;N</oddFooter>
  </headerFooter>
  <rowBreaks count="3" manualBreakCount="3">
    <brk id="40" max="19" man="1"/>
    <brk id="85" max="19" man="1"/>
    <brk id="119" max="1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8"/>
  <dimension ref="A1:T161"/>
  <sheetViews>
    <sheetView defaultGridColor="0" colorId="22" zoomScale="90" zoomScaleNormal="90" zoomScaleSheetLayoutView="80" workbookViewId="0">
      <pane xSplit="4" ySplit="10" topLeftCell="E11" activePane="bottomRight" state="frozen"/>
      <selection activeCell="I8" sqref="I8:I10"/>
      <selection pane="topRight" activeCell="I8" sqref="I8:I10"/>
      <selection pane="bottomLeft" activeCell="I8" sqref="I8:I10"/>
      <selection pane="bottomRight" activeCell="J2" sqref="J2"/>
    </sheetView>
  </sheetViews>
  <sheetFormatPr defaultColWidth="11.4609375" defaultRowHeight="15.5"/>
  <cols>
    <col min="1" max="1" width="3.23046875" style="133" customWidth="1"/>
    <col min="2" max="2" width="2" style="133" customWidth="1"/>
    <col min="3" max="3" width="2.53515625" style="133" customWidth="1"/>
    <col min="4" max="4" width="43.23046875" style="133" customWidth="1"/>
    <col min="5" max="5" width="11.4609375" style="133" customWidth="1"/>
    <col min="6" max="8" width="12.23046875" style="133" customWidth="1"/>
    <col min="9" max="9" width="12.84375" style="133" customWidth="1"/>
    <col min="10" max="12" width="12.23046875" style="133" customWidth="1"/>
    <col min="13" max="13" width="12.84375" style="133" customWidth="1"/>
    <col min="14" max="16" width="12.23046875" style="133" customWidth="1"/>
    <col min="17" max="17" width="12.84375" style="133" customWidth="1"/>
    <col min="18" max="18" width="8.765625" style="133" customWidth="1"/>
    <col min="19" max="19" width="9.4609375" style="133" customWidth="1"/>
    <col min="20" max="20" width="54.765625" style="133" customWidth="1"/>
    <col min="21" max="16384" width="11.4609375" style="133"/>
  </cols>
  <sheetData>
    <row r="1" spans="1:20" ht="36.75" customHeight="1">
      <c r="A1" s="346"/>
      <c r="B1" s="346"/>
      <c r="C1" s="346"/>
      <c r="D1" s="346"/>
      <c r="E1" s="346"/>
      <c r="F1" s="346"/>
      <c r="G1" s="346"/>
      <c r="H1" s="346"/>
      <c r="I1" s="346"/>
      <c r="J1" s="909" t="s">
        <v>235</v>
      </c>
      <c r="K1" s="909"/>
      <c r="L1" s="909"/>
      <c r="M1" s="909"/>
      <c r="N1" s="346"/>
      <c r="O1" s="346"/>
      <c r="P1" s="346"/>
      <c r="Q1" s="346"/>
      <c r="R1" s="910" t="s">
        <v>129</v>
      </c>
      <c r="S1" s="910"/>
    </row>
    <row r="2" spans="1:20" ht="18" customHeight="1" thickBot="1">
      <c r="A2" s="134"/>
      <c r="B2" s="135"/>
      <c r="C2" s="135"/>
      <c r="D2" s="135"/>
      <c r="E2" s="135"/>
      <c r="F2" s="135"/>
      <c r="G2" s="135"/>
      <c r="H2" s="135"/>
      <c r="I2" s="83"/>
      <c r="J2" s="136" t="s">
        <v>162</v>
      </c>
      <c r="K2" s="137">
        <v>2</v>
      </c>
      <c r="L2" s="136" t="s">
        <v>163</v>
      </c>
      <c r="M2" s="138">
        <v>45291</v>
      </c>
      <c r="N2" s="83"/>
      <c r="O2" s="135"/>
      <c r="P2" s="135"/>
      <c r="Q2" s="135"/>
      <c r="R2" s="347" t="s">
        <v>168</v>
      </c>
      <c r="S2" s="348">
        <f>'Annual Budget '!N4</f>
        <v>250</v>
      </c>
    </row>
    <row r="3" spans="1:20" ht="18" customHeight="1" thickBot="1">
      <c r="A3" s="134"/>
      <c r="B3" s="135"/>
      <c r="C3" s="135"/>
      <c r="D3" s="135"/>
      <c r="E3" s="135"/>
      <c r="F3" s="135"/>
      <c r="G3" s="135"/>
      <c r="H3" s="135"/>
      <c r="I3" s="83"/>
      <c r="J3" s="135"/>
      <c r="K3" s="350"/>
      <c r="L3" s="135"/>
      <c r="M3" s="350"/>
      <c r="N3" s="83"/>
      <c r="O3" s="135"/>
      <c r="P3" s="135"/>
      <c r="Q3" s="135"/>
      <c r="R3" s="81" t="s">
        <v>165</v>
      </c>
      <c r="S3" s="349">
        <f>'Qtr 1 Budget'!S3</f>
        <v>0</v>
      </c>
    </row>
    <row r="4" spans="1:20" ht="18" customHeight="1" thickTop="1">
      <c r="A4" s="924" t="s">
        <v>0</v>
      </c>
      <c r="B4" s="839"/>
      <c r="C4" s="839"/>
      <c r="D4" s="925" t="str">
        <f>'Annual Budget '!D5</f>
        <v>Redesign Dalton</v>
      </c>
      <c r="E4" s="83"/>
      <c r="F4" s="83"/>
      <c r="G4" s="83"/>
      <c r="H4" s="83"/>
      <c r="I4" s="83"/>
      <c r="J4" s="181"/>
      <c r="K4" s="114"/>
      <c r="L4" s="114"/>
      <c r="M4" s="114"/>
      <c r="N4" s="49"/>
      <c r="O4" s="49"/>
      <c r="P4" s="49"/>
      <c r="Q4" s="83"/>
      <c r="R4" s="81" t="s">
        <v>166</v>
      </c>
      <c r="S4" s="404"/>
    </row>
    <row r="5" spans="1:20" ht="18" customHeight="1" thickBot="1">
      <c r="A5" s="839"/>
      <c r="B5" s="839"/>
      <c r="C5" s="839"/>
      <c r="D5" s="926"/>
      <c r="E5" s="83"/>
      <c r="F5" s="83"/>
      <c r="G5" s="83"/>
      <c r="H5" s="83"/>
      <c r="I5" s="83"/>
      <c r="J5" s="181"/>
      <c r="K5" s="114"/>
      <c r="L5" s="114"/>
      <c r="M5" s="114"/>
      <c r="N5" s="49"/>
      <c r="O5" s="49"/>
      <c r="P5" s="49"/>
      <c r="Q5" s="83"/>
      <c r="R5" s="347" t="s">
        <v>167</v>
      </c>
      <c r="S5" s="349"/>
    </row>
    <row r="6" spans="1:20" ht="36.75" customHeight="1" thickTop="1" thickBot="1">
      <c r="A6" s="182"/>
      <c r="B6" s="891" t="s">
        <v>1</v>
      </c>
      <c r="C6" s="891"/>
      <c r="D6" s="892"/>
      <c r="E6" s="896" t="s">
        <v>2</v>
      </c>
      <c r="F6" s="915" t="s">
        <v>26</v>
      </c>
      <c r="G6" s="915"/>
      <c r="H6" s="915"/>
      <c r="I6" s="915"/>
      <c r="J6" s="900" t="s">
        <v>194</v>
      </c>
      <c r="K6" s="901"/>
      <c r="L6" s="901"/>
      <c r="M6" s="901"/>
      <c r="N6" s="903" t="s">
        <v>159</v>
      </c>
      <c r="O6" s="903"/>
      <c r="P6" s="903"/>
      <c r="Q6" s="904"/>
      <c r="R6" s="83"/>
    </row>
    <row r="7" spans="1:20" ht="16.5" thickTop="1" thickBot="1">
      <c r="A7" s="183"/>
      <c r="B7" s="868"/>
      <c r="C7" s="868"/>
      <c r="D7" s="893"/>
      <c r="E7" s="896"/>
      <c r="F7" s="916"/>
      <c r="G7" s="916"/>
      <c r="H7" s="916"/>
      <c r="I7" s="916"/>
      <c r="J7" s="902"/>
      <c r="K7" s="902"/>
      <c r="L7" s="902"/>
      <c r="M7" s="902"/>
      <c r="N7" s="905"/>
      <c r="O7" s="905"/>
      <c r="P7" s="905"/>
      <c r="Q7" s="906"/>
      <c r="R7" s="83"/>
      <c r="S7" s="83"/>
      <c r="T7" s="83"/>
    </row>
    <row r="8" spans="1:20" ht="16.5" customHeight="1" thickTop="1" thickBot="1">
      <c r="A8" s="183"/>
      <c r="B8" s="868"/>
      <c r="C8" s="868"/>
      <c r="D8" s="893"/>
      <c r="E8" s="897" t="s">
        <v>93</v>
      </c>
      <c r="F8" s="931" t="s">
        <v>169</v>
      </c>
      <c r="G8" s="887" t="s">
        <v>212</v>
      </c>
      <c r="H8" s="929" t="s">
        <v>170</v>
      </c>
      <c r="I8" s="913" t="s">
        <v>193</v>
      </c>
      <c r="J8" s="931" t="s">
        <v>169</v>
      </c>
      <c r="K8" s="887" t="s">
        <v>212</v>
      </c>
      <c r="L8" s="929" t="s">
        <v>170</v>
      </c>
      <c r="M8" s="913" t="s">
        <v>193</v>
      </c>
      <c r="N8" s="931" t="s">
        <v>169</v>
      </c>
      <c r="O8" s="887" t="s">
        <v>212</v>
      </c>
      <c r="P8" s="927" t="s">
        <v>170</v>
      </c>
      <c r="Q8" s="917" t="s">
        <v>193</v>
      </c>
      <c r="R8" s="919" t="s">
        <v>70</v>
      </c>
      <c r="S8" s="922" t="s">
        <v>195</v>
      </c>
      <c r="T8" s="880" t="s">
        <v>103</v>
      </c>
    </row>
    <row r="9" spans="1:20" ht="15" customHeight="1" thickTop="1" thickBot="1">
      <c r="A9" s="183"/>
      <c r="B9" s="868"/>
      <c r="C9" s="868"/>
      <c r="D9" s="893"/>
      <c r="E9" s="898"/>
      <c r="F9" s="932" t="s">
        <v>161</v>
      </c>
      <c r="G9" s="888" t="s">
        <v>160</v>
      </c>
      <c r="H9" s="930" t="s">
        <v>161</v>
      </c>
      <c r="I9" s="914"/>
      <c r="J9" s="932" t="s">
        <v>161</v>
      </c>
      <c r="K9" s="888" t="s">
        <v>160</v>
      </c>
      <c r="L9" s="930" t="s">
        <v>161</v>
      </c>
      <c r="M9" s="914"/>
      <c r="N9" s="932" t="s">
        <v>161</v>
      </c>
      <c r="O9" s="888" t="s">
        <v>160</v>
      </c>
      <c r="P9" s="928" t="s">
        <v>161</v>
      </c>
      <c r="Q9" s="918"/>
      <c r="R9" s="920"/>
      <c r="S9" s="853"/>
      <c r="T9" s="881"/>
    </row>
    <row r="10" spans="1:20" ht="30" customHeight="1" thickTop="1" thickBot="1">
      <c r="A10" s="184"/>
      <c r="B10" s="894"/>
      <c r="C10" s="894"/>
      <c r="D10" s="895"/>
      <c r="E10" s="899"/>
      <c r="F10" s="932"/>
      <c r="G10" s="888"/>
      <c r="H10" s="930"/>
      <c r="I10" s="914"/>
      <c r="J10" s="932"/>
      <c r="K10" s="888"/>
      <c r="L10" s="930"/>
      <c r="M10" s="914"/>
      <c r="N10" s="932"/>
      <c r="O10" s="888"/>
      <c r="P10" s="928"/>
      <c r="Q10" s="918"/>
      <c r="R10" s="921"/>
      <c r="S10" s="923"/>
      <c r="T10" s="882"/>
    </row>
    <row r="11" spans="1:20" ht="25.5" customHeight="1" thickTop="1">
      <c r="A11" s="227">
        <v>1</v>
      </c>
      <c r="B11" s="883" t="s">
        <v>91</v>
      </c>
      <c r="C11" s="883"/>
      <c r="D11" s="884"/>
      <c r="E11" s="228"/>
      <c r="F11" s="229"/>
      <c r="G11" s="230"/>
      <c r="H11" s="230"/>
      <c r="I11" s="231"/>
      <c r="J11" s="229"/>
      <c r="K11" s="230"/>
      <c r="L11" s="230"/>
      <c r="M11" s="232"/>
      <c r="N11" s="229"/>
      <c r="O11" s="230"/>
      <c r="P11" s="230"/>
      <c r="Q11" s="233"/>
      <c r="R11" s="228"/>
      <c r="S11" s="228"/>
      <c r="T11" s="405"/>
    </row>
    <row r="12" spans="1:20" ht="18" customHeight="1">
      <c r="A12" s="234">
        <f>A11+1</f>
        <v>2</v>
      </c>
      <c r="B12" s="235" t="s">
        <v>41</v>
      </c>
      <c r="C12" s="235"/>
      <c r="D12" s="236"/>
      <c r="E12" s="237"/>
      <c r="F12" s="238"/>
      <c r="G12" s="239"/>
      <c r="H12" s="239"/>
      <c r="I12" s="240"/>
      <c r="J12" s="238"/>
      <c r="K12" s="239"/>
      <c r="L12" s="239"/>
      <c r="M12" s="241"/>
      <c r="N12" s="238"/>
      <c r="O12" s="239"/>
      <c r="P12" s="239"/>
      <c r="Q12" s="241"/>
      <c r="R12" s="242"/>
      <c r="S12" s="242"/>
      <c r="T12" s="406"/>
    </row>
    <row r="13" spans="1:20">
      <c r="A13" s="243">
        <f>A12+1</f>
        <v>3</v>
      </c>
      <c r="B13" s="244"/>
      <c r="C13" s="244" t="s">
        <v>40</v>
      </c>
      <c r="D13" s="231"/>
      <c r="E13" s="245" t="s">
        <v>118</v>
      </c>
      <c r="F13" s="246">
        <f>'Qtr 1 Budget'!H13</f>
        <v>0</v>
      </c>
      <c r="G13" s="392"/>
      <c r="H13" s="247">
        <f>SUM(F13:G13)</f>
        <v>0</v>
      </c>
      <c r="I13" s="393"/>
      <c r="J13" s="246">
        <f>'Qtr 1 Budget'!L13</f>
        <v>0</v>
      </c>
      <c r="K13" s="392"/>
      <c r="L13" s="247">
        <f>SUM(J13:K13)</f>
        <v>0</v>
      </c>
      <c r="M13" s="393"/>
      <c r="N13" s="249">
        <f>F13+J13</f>
        <v>0</v>
      </c>
      <c r="O13" s="250">
        <f>K13+G13</f>
        <v>0</v>
      </c>
      <c r="P13" s="250">
        <f>SUM(N13:O13)</f>
        <v>0</v>
      </c>
      <c r="Q13" s="240">
        <f>M13+I13</f>
        <v>0</v>
      </c>
      <c r="R13" s="251">
        <f t="shared" ref="R13:R22" si="0">P13/$P$85</f>
        <v>0</v>
      </c>
      <c r="S13" s="252" t="str">
        <f>IFERROR(Q13/P13,"")</f>
        <v/>
      </c>
      <c r="T13" s="407"/>
    </row>
    <row r="14" spans="1:20">
      <c r="A14" s="243">
        <f t="shared" ref="A14:A77" si="1">A13+1</f>
        <v>4</v>
      </c>
      <c r="B14" s="244"/>
      <c r="C14" s="244" t="s">
        <v>108</v>
      </c>
      <c r="D14" s="231"/>
      <c r="E14" s="245" t="s">
        <v>119</v>
      </c>
      <c r="F14" s="253"/>
      <c r="G14" s="254"/>
      <c r="H14" s="254"/>
      <c r="I14" s="255"/>
      <c r="J14" s="246">
        <f>'Qtr 1 Budget'!L14</f>
        <v>0</v>
      </c>
      <c r="K14" s="392"/>
      <c r="L14" s="247">
        <f t="shared" ref="L14:L21" si="2">SUM(J14:K14)</f>
        <v>0</v>
      </c>
      <c r="M14" s="393"/>
      <c r="N14" s="249">
        <f t="shared" ref="N14:N21" si="3">F14+J14</f>
        <v>0</v>
      </c>
      <c r="O14" s="250">
        <f t="shared" ref="O14:O21" si="4">K14+G14</f>
        <v>0</v>
      </c>
      <c r="P14" s="250">
        <f t="shared" ref="P14:P21" si="5">SUM(N14:O14)</f>
        <v>0</v>
      </c>
      <c r="Q14" s="240">
        <f t="shared" ref="Q14:Q21" si="6">M14+I14</f>
        <v>0</v>
      </c>
      <c r="R14" s="251">
        <f t="shared" si="0"/>
        <v>0</v>
      </c>
      <c r="S14" s="252" t="str">
        <f t="shared" ref="S14:S22" si="7">IFERROR(Q14/P14,"")</f>
        <v/>
      </c>
      <c r="T14" s="407"/>
    </row>
    <row r="15" spans="1:20">
      <c r="A15" s="243">
        <f t="shared" si="1"/>
        <v>5</v>
      </c>
      <c r="B15" s="244"/>
      <c r="C15" s="244" t="s">
        <v>42</v>
      </c>
      <c r="D15" s="231"/>
      <c r="E15" s="245">
        <v>1920</v>
      </c>
      <c r="F15" s="246">
        <f>'Qtr 1 Budget'!H15</f>
        <v>0</v>
      </c>
      <c r="G15" s="392"/>
      <c r="H15" s="247">
        <f t="shared" ref="H15:H21" si="8">SUM(F15:G15)</f>
        <v>0</v>
      </c>
      <c r="I15" s="393"/>
      <c r="J15" s="246">
        <f>'Qtr 1 Budget'!L15</f>
        <v>0</v>
      </c>
      <c r="K15" s="392"/>
      <c r="L15" s="247">
        <f t="shared" si="2"/>
        <v>0</v>
      </c>
      <c r="M15" s="393"/>
      <c r="N15" s="249">
        <f t="shared" si="3"/>
        <v>0</v>
      </c>
      <c r="O15" s="250">
        <f t="shared" si="4"/>
        <v>0</v>
      </c>
      <c r="P15" s="250">
        <f t="shared" si="5"/>
        <v>0</v>
      </c>
      <c r="Q15" s="240">
        <f t="shared" si="6"/>
        <v>0</v>
      </c>
      <c r="R15" s="251">
        <f t="shared" si="0"/>
        <v>0</v>
      </c>
      <c r="S15" s="252" t="str">
        <f t="shared" si="7"/>
        <v/>
      </c>
      <c r="T15" s="407"/>
    </row>
    <row r="16" spans="1:20">
      <c r="A16" s="243">
        <f t="shared" si="1"/>
        <v>6</v>
      </c>
      <c r="B16" s="244"/>
      <c r="C16" s="244" t="s">
        <v>109</v>
      </c>
      <c r="D16" s="231"/>
      <c r="E16" s="245">
        <v>1993</v>
      </c>
      <c r="F16" s="246">
        <f>'Qtr 1 Budget'!H16</f>
        <v>0</v>
      </c>
      <c r="G16" s="392"/>
      <c r="H16" s="247">
        <f t="shared" si="8"/>
        <v>0</v>
      </c>
      <c r="I16" s="393"/>
      <c r="J16" s="246">
        <f>'Qtr 1 Budget'!L16</f>
        <v>0</v>
      </c>
      <c r="K16" s="392"/>
      <c r="L16" s="247">
        <f t="shared" si="2"/>
        <v>0</v>
      </c>
      <c r="M16" s="393"/>
      <c r="N16" s="249">
        <f t="shared" si="3"/>
        <v>0</v>
      </c>
      <c r="O16" s="250">
        <f t="shared" si="4"/>
        <v>0</v>
      </c>
      <c r="P16" s="250">
        <f t="shared" si="5"/>
        <v>0</v>
      </c>
      <c r="Q16" s="240">
        <f t="shared" si="6"/>
        <v>0</v>
      </c>
      <c r="R16" s="251">
        <f t="shared" si="0"/>
        <v>0</v>
      </c>
      <c r="S16" s="252" t="str">
        <f t="shared" si="7"/>
        <v/>
      </c>
      <c r="T16" s="407"/>
    </row>
    <row r="17" spans="1:20">
      <c r="A17" s="243">
        <f t="shared" si="1"/>
        <v>7</v>
      </c>
      <c r="B17" s="244"/>
      <c r="C17" s="244" t="s">
        <v>130</v>
      </c>
      <c r="D17" s="231"/>
      <c r="E17" s="245">
        <v>1994</v>
      </c>
      <c r="F17" s="246">
        <f>'Qtr 1 Budget'!H17</f>
        <v>1949250</v>
      </c>
      <c r="G17" s="392"/>
      <c r="H17" s="247">
        <f t="shared" si="8"/>
        <v>1949250</v>
      </c>
      <c r="I17" s="393"/>
      <c r="J17" s="253"/>
      <c r="K17" s="254"/>
      <c r="L17" s="254"/>
      <c r="M17" s="255"/>
      <c r="N17" s="249">
        <f t="shared" si="3"/>
        <v>1949250</v>
      </c>
      <c r="O17" s="250">
        <f t="shared" si="4"/>
        <v>0</v>
      </c>
      <c r="P17" s="250">
        <f t="shared" si="5"/>
        <v>1949250</v>
      </c>
      <c r="Q17" s="240">
        <f t="shared" si="6"/>
        <v>0</v>
      </c>
      <c r="R17" s="251">
        <f t="shared" si="0"/>
        <v>0.39615564845089363</v>
      </c>
      <c r="S17" s="252">
        <f t="shared" si="7"/>
        <v>0</v>
      </c>
      <c r="T17" s="407"/>
    </row>
    <row r="18" spans="1:20">
      <c r="A18" s="243">
        <f t="shared" si="1"/>
        <v>8</v>
      </c>
      <c r="B18" s="244"/>
      <c r="C18" s="244" t="s">
        <v>117</v>
      </c>
      <c r="D18" s="231"/>
      <c r="E18" s="245" t="s">
        <v>102</v>
      </c>
      <c r="F18" s="246">
        <f>'Qtr 1 Budget'!H18</f>
        <v>5218</v>
      </c>
      <c r="G18" s="392"/>
      <c r="H18" s="247">
        <f t="shared" si="8"/>
        <v>5218</v>
      </c>
      <c r="I18" s="393"/>
      <c r="J18" s="246">
        <f>'Qtr 1 Budget'!L18</f>
        <v>0</v>
      </c>
      <c r="K18" s="392"/>
      <c r="L18" s="247">
        <f t="shared" si="2"/>
        <v>0</v>
      </c>
      <c r="M18" s="393"/>
      <c r="N18" s="249">
        <f t="shared" si="3"/>
        <v>5218</v>
      </c>
      <c r="O18" s="250">
        <f t="shared" si="4"/>
        <v>0</v>
      </c>
      <c r="P18" s="250">
        <f t="shared" si="5"/>
        <v>5218</v>
      </c>
      <c r="Q18" s="240">
        <f t="shared" si="6"/>
        <v>0</v>
      </c>
      <c r="R18" s="251">
        <f t="shared" si="0"/>
        <v>1.0604797607370849E-3</v>
      </c>
      <c r="S18" s="252">
        <f t="shared" si="7"/>
        <v>0</v>
      </c>
      <c r="T18" s="407"/>
    </row>
    <row r="19" spans="1:20">
      <c r="A19" s="243">
        <f t="shared" si="1"/>
        <v>9</v>
      </c>
      <c r="B19" s="396"/>
      <c r="C19" s="396" t="s">
        <v>181</v>
      </c>
      <c r="D19" s="394"/>
      <c r="E19" s="395"/>
      <c r="F19" s="246">
        <f>'Qtr 1 Budget'!H19</f>
        <v>0</v>
      </c>
      <c r="G19" s="392"/>
      <c r="H19" s="247">
        <f t="shared" si="8"/>
        <v>0</v>
      </c>
      <c r="I19" s="393"/>
      <c r="J19" s="246">
        <f>'Qtr 1 Budget'!L19</f>
        <v>0</v>
      </c>
      <c r="K19" s="392"/>
      <c r="L19" s="247">
        <f t="shared" si="2"/>
        <v>0</v>
      </c>
      <c r="M19" s="393"/>
      <c r="N19" s="249">
        <f t="shared" si="3"/>
        <v>0</v>
      </c>
      <c r="O19" s="250">
        <f t="shared" si="4"/>
        <v>0</v>
      </c>
      <c r="P19" s="250">
        <f t="shared" si="5"/>
        <v>0</v>
      </c>
      <c r="Q19" s="240">
        <f t="shared" si="6"/>
        <v>0</v>
      </c>
      <c r="R19" s="251">
        <f t="shared" si="0"/>
        <v>0</v>
      </c>
      <c r="S19" s="252" t="str">
        <f t="shared" si="7"/>
        <v/>
      </c>
      <c r="T19" s="407"/>
    </row>
    <row r="20" spans="1:20">
      <c r="A20" s="243">
        <f t="shared" si="1"/>
        <v>10</v>
      </c>
      <c r="B20" s="396"/>
      <c r="C20" s="396" t="s">
        <v>181</v>
      </c>
      <c r="D20" s="394"/>
      <c r="E20" s="395"/>
      <c r="F20" s="246">
        <f>'Qtr 1 Budget'!H20</f>
        <v>0</v>
      </c>
      <c r="G20" s="392"/>
      <c r="H20" s="247">
        <f t="shared" si="8"/>
        <v>0</v>
      </c>
      <c r="I20" s="393"/>
      <c r="J20" s="246">
        <f>'Qtr 1 Budget'!L20</f>
        <v>0</v>
      </c>
      <c r="K20" s="392"/>
      <c r="L20" s="247">
        <f t="shared" si="2"/>
        <v>0</v>
      </c>
      <c r="M20" s="393"/>
      <c r="N20" s="249">
        <f t="shared" si="3"/>
        <v>0</v>
      </c>
      <c r="O20" s="250">
        <f t="shared" si="4"/>
        <v>0</v>
      </c>
      <c r="P20" s="250">
        <f t="shared" si="5"/>
        <v>0</v>
      </c>
      <c r="Q20" s="240">
        <f t="shared" si="6"/>
        <v>0</v>
      </c>
      <c r="R20" s="251">
        <f t="shared" si="0"/>
        <v>0</v>
      </c>
      <c r="S20" s="252" t="str">
        <f t="shared" si="7"/>
        <v/>
      </c>
      <c r="T20" s="407"/>
    </row>
    <row r="21" spans="1:20">
      <c r="A21" s="243">
        <f t="shared" si="1"/>
        <v>11</v>
      </c>
      <c r="B21" s="396"/>
      <c r="C21" s="396" t="s">
        <v>181</v>
      </c>
      <c r="D21" s="394"/>
      <c r="E21" s="395"/>
      <c r="F21" s="246">
        <f>'Qtr 1 Budget'!H21</f>
        <v>0</v>
      </c>
      <c r="G21" s="392"/>
      <c r="H21" s="247">
        <f t="shared" si="8"/>
        <v>0</v>
      </c>
      <c r="I21" s="393"/>
      <c r="J21" s="246">
        <f>'Qtr 1 Budget'!L21</f>
        <v>0</v>
      </c>
      <c r="K21" s="392"/>
      <c r="L21" s="247">
        <f t="shared" si="2"/>
        <v>0</v>
      </c>
      <c r="M21" s="393"/>
      <c r="N21" s="249">
        <f t="shared" si="3"/>
        <v>0</v>
      </c>
      <c r="O21" s="250">
        <f t="shared" si="4"/>
        <v>0</v>
      </c>
      <c r="P21" s="250">
        <f t="shared" si="5"/>
        <v>0</v>
      </c>
      <c r="Q21" s="240">
        <f t="shared" si="6"/>
        <v>0</v>
      </c>
      <c r="R21" s="251">
        <f t="shared" si="0"/>
        <v>0</v>
      </c>
      <c r="S21" s="252" t="str">
        <f t="shared" si="7"/>
        <v/>
      </c>
      <c r="T21" s="407"/>
    </row>
    <row r="22" spans="1:20" ht="18" customHeight="1">
      <c r="A22" s="256">
        <f t="shared" si="1"/>
        <v>12</v>
      </c>
      <c r="B22" s="257" t="s">
        <v>43</v>
      </c>
      <c r="C22" s="257"/>
      <c r="D22" s="258"/>
      <c r="E22" s="259"/>
      <c r="F22" s="260">
        <f>SUM(F13:F21)</f>
        <v>1954468</v>
      </c>
      <c r="G22" s="261">
        <f t="shared" ref="G22:Q22" si="9">SUM(G13:G21)</f>
        <v>0</v>
      </c>
      <c r="H22" s="261">
        <f t="shared" si="9"/>
        <v>1954468</v>
      </c>
      <c r="I22" s="262">
        <f t="shared" si="9"/>
        <v>0</v>
      </c>
      <c r="J22" s="260">
        <f t="shared" si="9"/>
        <v>0</v>
      </c>
      <c r="K22" s="261">
        <f t="shared" si="9"/>
        <v>0</v>
      </c>
      <c r="L22" s="261">
        <f t="shared" si="9"/>
        <v>0</v>
      </c>
      <c r="M22" s="262">
        <f t="shared" si="9"/>
        <v>0</v>
      </c>
      <c r="N22" s="260">
        <f t="shared" si="9"/>
        <v>1954468</v>
      </c>
      <c r="O22" s="261">
        <f t="shared" si="9"/>
        <v>0</v>
      </c>
      <c r="P22" s="261">
        <f t="shared" si="9"/>
        <v>1954468</v>
      </c>
      <c r="Q22" s="262">
        <f t="shared" si="9"/>
        <v>0</v>
      </c>
      <c r="R22" s="263">
        <f t="shared" si="0"/>
        <v>0.39721612821163071</v>
      </c>
      <c r="S22" s="263">
        <f t="shared" si="7"/>
        <v>0</v>
      </c>
      <c r="T22" s="408"/>
    </row>
    <row r="23" spans="1:20">
      <c r="A23" s="243">
        <f t="shared" si="1"/>
        <v>13</v>
      </c>
      <c r="B23" s="244"/>
      <c r="C23" s="244"/>
      <c r="D23" s="231"/>
      <c r="E23" s="264"/>
      <c r="F23" s="246"/>
      <c r="G23" s="247"/>
      <c r="H23" s="247"/>
      <c r="I23" s="248"/>
      <c r="J23" s="246"/>
      <c r="K23" s="247"/>
      <c r="L23" s="247"/>
      <c r="M23" s="248"/>
      <c r="N23" s="246"/>
      <c r="O23" s="247"/>
      <c r="P23" s="247"/>
      <c r="Q23" s="248"/>
      <c r="R23" s="265"/>
      <c r="S23" s="265"/>
      <c r="T23" s="409"/>
    </row>
    <row r="24" spans="1:20" ht="18" customHeight="1">
      <c r="A24" s="234">
        <f t="shared" si="1"/>
        <v>14</v>
      </c>
      <c r="B24" s="235" t="s">
        <v>44</v>
      </c>
      <c r="C24" s="235"/>
      <c r="D24" s="236"/>
      <c r="E24" s="266"/>
      <c r="F24" s="249"/>
      <c r="G24" s="250"/>
      <c r="H24" s="250"/>
      <c r="I24" s="240"/>
      <c r="J24" s="249"/>
      <c r="K24" s="250"/>
      <c r="L24" s="250"/>
      <c r="M24" s="240"/>
      <c r="N24" s="249"/>
      <c r="O24" s="250"/>
      <c r="P24" s="250"/>
      <c r="Q24" s="240"/>
      <c r="R24" s="267"/>
      <c r="S24" s="267"/>
      <c r="T24" s="410"/>
    </row>
    <row r="25" spans="1:20">
      <c r="A25" s="243">
        <f t="shared" si="1"/>
        <v>15</v>
      </c>
      <c r="B25" s="244"/>
      <c r="C25" s="244" t="s">
        <v>45</v>
      </c>
      <c r="D25" s="231"/>
      <c r="E25" s="266"/>
      <c r="F25" s="249"/>
      <c r="G25" s="250"/>
      <c r="H25" s="250"/>
      <c r="I25" s="240"/>
      <c r="J25" s="249"/>
      <c r="K25" s="250"/>
      <c r="L25" s="250"/>
      <c r="M25" s="240"/>
      <c r="N25" s="249"/>
      <c r="O25" s="250"/>
      <c r="P25" s="250"/>
      <c r="Q25" s="240"/>
      <c r="R25" s="267"/>
      <c r="S25" s="267"/>
      <c r="T25" s="410"/>
    </row>
    <row r="26" spans="1:20">
      <c r="A26" s="243">
        <f t="shared" si="1"/>
        <v>16</v>
      </c>
      <c r="B26" s="244"/>
      <c r="C26" s="244"/>
      <c r="D26" s="231" t="s">
        <v>46</v>
      </c>
      <c r="E26" s="245">
        <v>3110</v>
      </c>
      <c r="F26" s="246">
        <f>'Qtr 1 Budget'!H26</f>
        <v>1344316.2326921532</v>
      </c>
      <c r="G26" s="392"/>
      <c r="H26" s="247">
        <f t="shared" ref="H26:H38" si="10">SUM(F26:G26)</f>
        <v>1344316.2326921532</v>
      </c>
      <c r="I26" s="393"/>
      <c r="J26" s="253"/>
      <c r="K26" s="254"/>
      <c r="L26" s="254"/>
      <c r="M26" s="255"/>
      <c r="N26" s="246">
        <f>F26+J26</f>
        <v>1344316.2326921532</v>
      </c>
      <c r="O26" s="247">
        <f>K26+G26</f>
        <v>0</v>
      </c>
      <c r="P26" s="247">
        <f>SUM(N26:O26)</f>
        <v>1344316.2326921532</v>
      </c>
      <c r="Q26" s="240">
        <f>M26+I26</f>
        <v>0</v>
      </c>
      <c r="R26" s="251">
        <f>P26/$P$85</f>
        <v>0.27321198865472479</v>
      </c>
      <c r="S26" s="251">
        <f t="shared" ref="S26:S27" si="11">IFERROR(Q26/P26,"")</f>
        <v>0</v>
      </c>
      <c r="T26" s="407"/>
    </row>
    <row r="27" spans="1:20">
      <c r="A27" s="243">
        <f t="shared" si="1"/>
        <v>17</v>
      </c>
      <c r="B27" s="244"/>
      <c r="C27" s="244"/>
      <c r="D27" s="231" t="s">
        <v>47</v>
      </c>
      <c r="E27" s="245">
        <v>3190</v>
      </c>
      <c r="F27" s="246">
        <f>'Qtr 1 Budget'!H27</f>
        <v>0</v>
      </c>
      <c r="G27" s="392"/>
      <c r="H27" s="247">
        <f t="shared" si="10"/>
        <v>0</v>
      </c>
      <c r="I27" s="393"/>
      <c r="J27" s="246">
        <f>'Qtr 1 Budget'!L27</f>
        <v>0</v>
      </c>
      <c r="K27" s="392"/>
      <c r="L27" s="247">
        <f t="shared" ref="L27" si="12">SUM(J27:K27)</f>
        <v>0</v>
      </c>
      <c r="M27" s="393"/>
      <c r="N27" s="246">
        <f>F27+J27</f>
        <v>0</v>
      </c>
      <c r="O27" s="247">
        <f>K27+G27</f>
        <v>0</v>
      </c>
      <c r="P27" s="247">
        <f>SUM(N27:O27)</f>
        <v>0</v>
      </c>
      <c r="Q27" s="240">
        <f>M27+I27</f>
        <v>0</v>
      </c>
      <c r="R27" s="251">
        <f>P27/$P$85</f>
        <v>0</v>
      </c>
      <c r="S27" s="251" t="str">
        <f t="shared" si="11"/>
        <v/>
      </c>
      <c r="T27" s="407"/>
    </row>
    <row r="28" spans="1:20">
      <c r="A28" s="243">
        <f t="shared" si="1"/>
        <v>18</v>
      </c>
      <c r="B28" s="244"/>
      <c r="C28" s="244" t="s">
        <v>48</v>
      </c>
      <c r="D28" s="231"/>
      <c r="E28" s="237"/>
      <c r="F28" s="249"/>
      <c r="G28" s="250"/>
      <c r="H28" s="250"/>
      <c r="I28" s="240"/>
      <c r="J28" s="249"/>
      <c r="K28" s="250"/>
      <c r="L28" s="250"/>
      <c r="M28" s="240"/>
      <c r="N28" s="249"/>
      <c r="O28" s="250"/>
      <c r="P28" s="250"/>
      <c r="Q28" s="240"/>
      <c r="R28" s="251"/>
      <c r="S28" s="251"/>
      <c r="T28" s="410"/>
    </row>
    <row r="29" spans="1:20">
      <c r="A29" s="243">
        <f t="shared" si="1"/>
        <v>19</v>
      </c>
      <c r="B29" s="244"/>
      <c r="C29" s="244"/>
      <c r="D29" s="231" t="s">
        <v>49</v>
      </c>
      <c r="E29" s="245">
        <v>3220</v>
      </c>
      <c r="F29" s="246">
        <f>'Qtr 1 Budget'!H29</f>
        <v>0</v>
      </c>
      <c r="G29" s="392"/>
      <c r="H29" s="247">
        <f t="shared" si="10"/>
        <v>0</v>
      </c>
      <c r="I29" s="393"/>
      <c r="J29" s="246">
        <f>'Qtr 1 Budget'!L29</f>
        <v>0</v>
      </c>
      <c r="K29" s="392"/>
      <c r="L29" s="247">
        <f t="shared" ref="L29:L38" si="13">SUM(J29:K29)</f>
        <v>0</v>
      </c>
      <c r="M29" s="393"/>
      <c r="N29" s="246">
        <f t="shared" ref="N29:N38" si="14">F29+J29</f>
        <v>0</v>
      </c>
      <c r="O29" s="247">
        <f t="shared" ref="O29:O38" si="15">K29+G29</f>
        <v>0</v>
      </c>
      <c r="P29" s="247">
        <f t="shared" ref="P29:P38" si="16">SUM(N29:O29)</f>
        <v>0</v>
      </c>
      <c r="Q29" s="240">
        <f t="shared" ref="Q29:Q38" si="17">M29+I29</f>
        <v>0</v>
      </c>
      <c r="R29" s="251">
        <f t="shared" ref="R29:R39" si="18">P29/$P$85</f>
        <v>0</v>
      </c>
      <c r="S29" s="251" t="str">
        <f t="shared" ref="S29:S39" si="19">IFERROR(Q29/P29,"")</f>
        <v/>
      </c>
      <c r="T29" s="407"/>
    </row>
    <row r="30" spans="1:20">
      <c r="A30" s="243">
        <f t="shared" si="1"/>
        <v>20</v>
      </c>
      <c r="B30" s="244"/>
      <c r="C30" s="244"/>
      <c r="D30" s="231" t="s">
        <v>50</v>
      </c>
      <c r="E30" s="245">
        <v>3230</v>
      </c>
      <c r="F30" s="246">
        <f>'Qtr 1 Budget'!H30</f>
        <v>0</v>
      </c>
      <c r="G30" s="392"/>
      <c r="H30" s="247">
        <f t="shared" si="10"/>
        <v>0</v>
      </c>
      <c r="I30" s="393"/>
      <c r="J30" s="253"/>
      <c r="K30" s="254"/>
      <c r="L30" s="254"/>
      <c r="M30" s="255"/>
      <c r="N30" s="246">
        <f t="shared" si="14"/>
        <v>0</v>
      </c>
      <c r="O30" s="247">
        <f t="shared" si="15"/>
        <v>0</v>
      </c>
      <c r="P30" s="247">
        <f t="shared" si="16"/>
        <v>0</v>
      </c>
      <c r="Q30" s="240">
        <f t="shared" si="17"/>
        <v>0</v>
      </c>
      <c r="R30" s="251">
        <f t="shared" si="18"/>
        <v>0</v>
      </c>
      <c r="S30" s="251" t="str">
        <f t="shared" si="19"/>
        <v/>
      </c>
      <c r="T30" s="407"/>
    </row>
    <row r="31" spans="1:20">
      <c r="A31" s="243">
        <f t="shared" si="1"/>
        <v>21</v>
      </c>
      <c r="B31" s="244"/>
      <c r="C31" s="244"/>
      <c r="D31" s="231" t="s">
        <v>94</v>
      </c>
      <c r="E31" s="245">
        <v>3290</v>
      </c>
      <c r="F31" s="246">
        <f>'Qtr 1 Budget'!H31</f>
        <v>0</v>
      </c>
      <c r="G31" s="392"/>
      <c r="H31" s="247">
        <f t="shared" si="10"/>
        <v>0</v>
      </c>
      <c r="I31" s="393"/>
      <c r="J31" s="246">
        <f>'Qtr 1 Budget'!L31</f>
        <v>0</v>
      </c>
      <c r="K31" s="392"/>
      <c r="L31" s="247">
        <f t="shared" si="13"/>
        <v>0</v>
      </c>
      <c r="M31" s="393"/>
      <c r="N31" s="246">
        <f t="shared" si="14"/>
        <v>0</v>
      </c>
      <c r="O31" s="247">
        <f t="shared" si="15"/>
        <v>0</v>
      </c>
      <c r="P31" s="247">
        <f t="shared" si="16"/>
        <v>0</v>
      </c>
      <c r="Q31" s="240">
        <f t="shared" si="17"/>
        <v>0</v>
      </c>
      <c r="R31" s="251">
        <f t="shared" si="18"/>
        <v>0</v>
      </c>
      <c r="S31" s="251" t="str">
        <f t="shared" si="19"/>
        <v/>
      </c>
      <c r="T31" s="407"/>
    </row>
    <row r="32" spans="1:20">
      <c r="A32" s="243">
        <f t="shared" si="1"/>
        <v>22</v>
      </c>
      <c r="B32" s="244"/>
      <c r="C32" s="244"/>
      <c r="D32" s="231" t="s">
        <v>164</v>
      </c>
      <c r="E32" s="245">
        <v>3240</v>
      </c>
      <c r="F32" s="246">
        <f>'Qtr 1 Budget'!H32</f>
        <v>0</v>
      </c>
      <c r="G32" s="392"/>
      <c r="H32" s="247">
        <f t="shared" si="10"/>
        <v>0</v>
      </c>
      <c r="I32" s="393"/>
      <c r="J32" s="246">
        <f>'Qtr 1 Budget'!L32</f>
        <v>0</v>
      </c>
      <c r="K32" s="392"/>
      <c r="L32" s="247">
        <f t="shared" si="13"/>
        <v>0</v>
      </c>
      <c r="M32" s="393"/>
      <c r="N32" s="246">
        <f t="shared" si="14"/>
        <v>0</v>
      </c>
      <c r="O32" s="247">
        <f t="shared" si="15"/>
        <v>0</v>
      </c>
      <c r="P32" s="247">
        <f t="shared" si="16"/>
        <v>0</v>
      </c>
      <c r="Q32" s="240">
        <f t="shared" si="17"/>
        <v>0</v>
      </c>
      <c r="R32" s="251">
        <f t="shared" si="18"/>
        <v>0</v>
      </c>
      <c r="S32" s="251" t="str">
        <f t="shared" si="19"/>
        <v/>
      </c>
      <c r="T32" s="407"/>
    </row>
    <row r="33" spans="1:20">
      <c r="A33" s="243">
        <f t="shared" si="1"/>
        <v>23</v>
      </c>
      <c r="B33" s="244"/>
      <c r="C33" s="244"/>
      <c r="D33" s="231" t="s">
        <v>133</v>
      </c>
      <c r="E33" s="245">
        <v>3290</v>
      </c>
      <c r="F33" s="246">
        <f>'Qtr 1 Budget'!H33</f>
        <v>0</v>
      </c>
      <c r="G33" s="392"/>
      <c r="H33" s="247">
        <f t="shared" si="10"/>
        <v>0</v>
      </c>
      <c r="I33" s="393"/>
      <c r="J33" s="246">
        <f>'Qtr 1 Budget'!L33</f>
        <v>0</v>
      </c>
      <c r="K33" s="392"/>
      <c r="L33" s="247">
        <f t="shared" si="13"/>
        <v>0</v>
      </c>
      <c r="M33" s="393"/>
      <c r="N33" s="246">
        <f t="shared" si="14"/>
        <v>0</v>
      </c>
      <c r="O33" s="247">
        <f t="shared" si="15"/>
        <v>0</v>
      </c>
      <c r="P33" s="247">
        <f t="shared" si="16"/>
        <v>0</v>
      </c>
      <c r="Q33" s="240">
        <f t="shared" si="17"/>
        <v>0</v>
      </c>
      <c r="R33" s="251">
        <f t="shared" si="18"/>
        <v>0</v>
      </c>
      <c r="S33" s="251" t="str">
        <f t="shared" si="19"/>
        <v/>
      </c>
      <c r="T33" s="407"/>
    </row>
    <row r="34" spans="1:20">
      <c r="A34" s="243">
        <f t="shared" si="1"/>
        <v>24</v>
      </c>
      <c r="B34" s="244"/>
      <c r="C34" s="244"/>
      <c r="D34" s="231" t="s">
        <v>137</v>
      </c>
      <c r="E34" s="245">
        <v>3290</v>
      </c>
      <c r="F34" s="246">
        <f>'Qtr 1 Budget'!H34</f>
        <v>0</v>
      </c>
      <c r="G34" s="392"/>
      <c r="H34" s="247">
        <f t="shared" si="10"/>
        <v>0</v>
      </c>
      <c r="I34" s="393"/>
      <c r="J34" s="246">
        <f>'Qtr 1 Budget'!L34</f>
        <v>22389.705882352941</v>
      </c>
      <c r="K34" s="392"/>
      <c r="L34" s="247">
        <f t="shared" si="13"/>
        <v>22389.705882352941</v>
      </c>
      <c r="M34" s="393"/>
      <c r="N34" s="246">
        <f t="shared" si="14"/>
        <v>22389.705882352941</v>
      </c>
      <c r="O34" s="247">
        <f t="shared" si="15"/>
        <v>0</v>
      </c>
      <c r="P34" s="247">
        <f t="shared" si="16"/>
        <v>22389.705882352941</v>
      </c>
      <c r="Q34" s="240">
        <f t="shared" si="17"/>
        <v>0</v>
      </c>
      <c r="R34" s="251">
        <f t="shared" si="18"/>
        <v>4.550369861458672E-3</v>
      </c>
      <c r="S34" s="251">
        <f t="shared" si="19"/>
        <v>0</v>
      </c>
      <c r="T34" s="407"/>
    </row>
    <row r="35" spans="1:20">
      <c r="A35" s="243">
        <f t="shared" si="1"/>
        <v>25</v>
      </c>
      <c r="B35" s="396"/>
      <c r="C35" s="396" t="s">
        <v>181</v>
      </c>
      <c r="D35" s="394"/>
      <c r="E35" s="395"/>
      <c r="F35" s="246">
        <f>'Qtr 1 Budget'!H35</f>
        <v>0</v>
      </c>
      <c r="G35" s="392"/>
      <c r="H35" s="247">
        <f t="shared" si="10"/>
        <v>0</v>
      </c>
      <c r="I35" s="393"/>
      <c r="J35" s="246">
        <f>'Qtr 1 Budget'!L35</f>
        <v>0</v>
      </c>
      <c r="K35" s="392"/>
      <c r="L35" s="247">
        <f t="shared" si="13"/>
        <v>0</v>
      </c>
      <c r="M35" s="393"/>
      <c r="N35" s="246">
        <f t="shared" si="14"/>
        <v>0</v>
      </c>
      <c r="O35" s="247">
        <f t="shared" si="15"/>
        <v>0</v>
      </c>
      <c r="P35" s="247">
        <f t="shared" si="16"/>
        <v>0</v>
      </c>
      <c r="Q35" s="240">
        <f t="shared" si="17"/>
        <v>0</v>
      </c>
      <c r="R35" s="251">
        <f t="shared" si="18"/>
        <v>0</v>
      </c>
      <c r="S35" s="251" t="str">
        <f t="shared" si="19"/>
        <v/>
      </c>
      <c r="T35" s="407"/>
    </row>
    <row r="36" spans="1:20">
      <c r="A36" s="243">
        <f t="shared" si="1"/>
        <v>26</v>
      </c>
      <c r="B36" s="396"/>
      <c r="C36" s="396" t="s">
        <v>181</v>
      </c>
      <c r="D36" s="394"/>
      <c r="E36" s="395"/>
      <c r="F36" s="246">
        <f>'Qtr 1 Budget'!H36</f>
        <v>0</v>
      </c>
      <c r="G36" s="392"/>
      <c r="H36" s="247">
        <f t="shared" si="10"/>
        <v>0</v>
      </c>
      <c r="I36" s="393"/>
      <c r="J36" s="246">
        <f>'Qtr 1 Budget'!L36</f>
        <v>0</v>
      </c>
      <c r="K36" s="392"/>
      <c r="L36" s="247">
        <f t="shared" si="13"/>
        <v>0</v>
      </c>
      <c r="M36" s="393"/>
      <c r="N36" s="246">
        <f t="shared" si="14"/>
        <v>0</v>
      </c>
      <c r="O36" s="247">
        <f t="shared" si="15"/>
        <v>0</v>
      </c>
      <c r="P36" s="247">
        <f t="shared" si="16"/>
        <v>0</v>
      </c>
      <c r="Q36" s="240">
        <f t="shared" si="17"/>
        <v>0</v>
      </c>
      <c r="R36" s="251">
        <f t="shared" si="18"/>
        <v>0</v>
      </c>
      <c r="S36" s="251" t="str">
        <f t="shared" si="19"/>
        <v/>
      </c>
      <c r="T36" s="407"/>
    </row>
    <row r="37" spans="1:20">
      <c r="A37" s="243">
        <f t="shared" si="1"/>
        <v>27</v>
      </c>
      <c r="B37" s="396"/>
      <c r="C37" s="396" t="s">
        <v>181</v>
      </c>
      <c r="D37" s="394"/>
      <c r="E37" s="397"/>
      <c r="F37" s="246">
        <f>'Qtr 1 Budget'!H37</f>
        <v>0</v>
      </c>
      <c r="G37" s="392"/>
      <c r="H37" s="247">
        <f t="shared" si="10"/>
        <v>0</v>
      </c>
      <c r="I37" s="393"/>
      <c r="J37" s="246">
        <f>'Qtr 1 Budget'!L37</f>
        <v>0</v>
      </c>
      <c r="K37" s="392"/>
      <c r="L37" s="247">
        <f t="shared" si="13"/>
        <v>0</v>
      </c>
      <c r="M37" s="393"/>
      <c r="N37" s="246">
        <f t="shared" si="14"/>
        <v>0</v>
      </c>
      <c r="O37" s="247">
        <f t="shared" si="15"/>
        <v>0</v>
      </c>
      <c r="P37" s="247">
        <f t="shared" si="16"/>
        <v>0</v>
      </c>
      <c r="Q37" s="240">
        <f t="shared" si="17"/>
        <v>0</v>
      </c>
      <c r="R37" s="251">
        <f t="shared" si="18"/>
        <v>0</v>
      </c>
      <c r="S37" s="251" t="str">
        <f t="shared" si="19"/>
        <v/>
      </c>
      <c r="T37" s="407"/>
    </row>
    <row r="38" spans="1:20">
      <c r="A38" s="243">
        <f t="shared" si="1"/>
        <v>28</v>
      </c>
      <c r="B38" s="396"/>
      <c r="C38" s="396" t="s">
        <v>181</v>
      </c>
      <c r="D38" s="394"/>
      <c r="E38" s="397"/>
      <c r="F38" s="246">
        <f>'Qtr 1 Budget'!H38</f>
        <v>0</v>
      </c>
      <c r="G38" s="392"/>
      <c r="H38" s="247">
        <f t="shared" si="10"/>
        <v>0</v>
      </c>
      <c r="I38" s="393"/>
      <c r="J38" s="246">
        <f>'Qtr 1 Budget'!L38</f>
        <v>0</v>
      </c>
      <c r="K38" s="392"/>
      <c r="L38" s="247">
        <f t="shared" si="13"/>
        <v>0</v>
      </c>
      <c r="M38" s="393"/>
      <c r="N38" s="246">
        <f t="shared" si="14"/>
        <v>0</v>
      </c>
      <c r="O38" s="247">
        <f t="shared" si="15"/>
        <v>0</v>
      </c>
      <c r="P38" s="247">
        <f t="shared" si="16"/>
        <v>0</v>
      </c>
      <c r="Q38" s="240">
        <f t="shared" si="17"/>
        <v>0</v>
      </c>
      <c r="R38" s="251">
        <f t="shared" si="18"/>
        <v>0</v>
      </c>
      <c r="S38" s="251" t="str">
        <f t="shared" si="19"/>
        <v/>
      </c>
      <c r="T38" s="407"/>
    </row>
    <row r="39" spans="1:20" ht="18" customHeight="1">
      <c r="A39" s="256">
        <f t="shared" si="1"/>
        <v>29</v>
      </c>
      <c r="B39" s="257" t="s">
        <v>51</v>
      </c>
      <c r="C39" s="257"/>
      <c r="D39" s="258"/>
      <c r="E39" s="259"/>
      <c r="F39" s="260">
        <f t="shared" ref="F39:Q39" si="20">SUM(F26:F38)</f>
        <v>1344316.2326921532</v>
      </c>
      <c r="G39" s="261">
        <f t="shared" si="20"/>
        <v>0</v>
      </c>
      <c r="H39" s="261">
        <f t="shared" si="20"/>
        <v>1344316.2326921532</v>
      </c>
      <c r="I39" s="262">
        <f t="shared" si="20"/>
        <v>0</v>
      </c>
      <c r="J39" s="260">
        <f t="shared" si="20"/>
        <v>22389.705882352941</v>
      </c>
      <c r="K39" s="261">
        <f t="shared" si="20"/>
        <v>0</v>
      </c>
      <c r="L39" s="261">
        <f t="shared" si="20"/>
        <v>22389.705882352941</v>
      </c>
      <c r="M39" s="262">
        <f t="shared" si="20"/>
        <v>0</v>
      </c>
      <c r="N39" s="260">
        <f t="shared" si="20"/>
        <v>1366705.9385745062</v>
      </c>
      <c r="O39" s="261">
        <f t="shared" si="20"/>
        <v>0</v>
      </c>
      <c r="P39" s="261">
        <f t="shared" si="20"/>
        <v>1366705.9385745062</v>
      </c>
      <c r="Q39" s="262">
        <f t="shared" si="20"/>
        <v>0</v>
      </c>
      <c r="R39" s="263">
        <f t="shared" si="18"/>
        <v>0.27776235851618347</v>
      </c>
      <c r="S39" s="263">
        <f t="shared" si="19"/>
        <v>0</v>
      </c>
      <c r="T39" s="408"/>
    </row>
    <row r="40" spans="1:20" ht="16" thickBot="1">
      <c r="A40" s="218">
        <f t="shared" si="1"/>
        <v>30</v>
      </c>
      <c r="B40" s="185"/>
      <c r="C40" s="185"/>
      <c r="D40" s="186"/>
      <c r="E40" s="187"/>
      <c r="F40" s="221"/>
      <c r="G40" s="224"/>
      <c r="H40" s="224"/>
      <c r="I40" s="186"/>
      <c r="J40" s="221"/>
      <c r="K40" s="224"/>
      <c r="L40" s="224"/>
      <c r="M40" s="186"/>
      <c r="N40" s="221"/>
      <c r="O40" s="224"/>
      <c r="P40" s="224"/>
      <c r="Q40" s="186"/>
      <c r="R40" s="188"/>
      <c r="S40" s="188"/>
      <c r="T40" s="411"/>
    </row>
    <row r="41" spans="1:20" ht="18" customHeight="1" thickTop="1">
      <c r="A41" s="268">
        <f t="shared" si="1"/>
        <v>31</v>
      </c>
      <c r="B41" s="269" t="s">
        <v>52</v>
      </c>
      <c r="C41" s="269"/>
      <c r="D41" s="270"/>
      <c r="E41" s="271"/>
      <c r="F41" s="272"/>
      <c r="G41" s="273"/>
      <c r="H41" s="273"/>
      <c r="I41" s="274"/>
      <c r="J41" s="272"/>
      <c r="K41" s="273"/>
      <c r="L41" s="273"/>
      <c r="M41" s="274"/>
      <c r="N41" s="272"/>
      <c r="O41" s="273"/>
      <c r="P41" s="273"/>
      <c r="Q41" s="274"/>
      <c r="R41" s="275"/>
      <c r="S41" s="275"/>
      <c r="T41" s="412"/>
    </row>
    <row r="42" spans="1:20">
      <c r="A42" s="243">
        <f t="shared" si="1"/>
        <v>32</v>
      </c>
      <c r="B42" s="244"/>
      <c r="C42" s="244" t="s">
        <v>53</v>
      </c>
      <c r="D42" s="231"/>
      <c r="E42" s="266"/>
      <c r="F42" s="238"/>
      <c r="G42" s="239"/>
      <c r="H42" s="239"/>
      <c r="I42" s="241"/>
      <c r="J42" s="238"/>
      <c r="K42" s="239"/>
      <c r="L42" s="239"/>
      <c r="M42" s="241"/>
      <c r="N42" s="238"/>
      <c r="O42" s="239"/>
      <c r="P42" s="239"/>
      <c r="Q42" s="241"/>
      <c r="R42" s="251"/>
      <c r="S42" s="251"/>
      <c r="T42" s="413"/>
    </row>
    <row r="43" spans="1:20">
      <c r="A43" s="243">
        <f t="shared" si="1"/>
        <v>33</v>
      </c>
      <c r="B43" s="244"/>
      <c r="C43" s="244"/>
      <c r="D43" s="231" t="s">
        <v>110</v>
      </c>
      <c r="E43" s="245">
        <v>4110</v>
      </c>
      <c r="F43" s="246">
        <f>'Qtr 1 Budget'!H43</f>
        <v>0</v>
      </c>
      <c r="G43" s="392"/>
      <c r="H43" s="247">
        <f t="shared" ref="H43:H79" si="21">SUM(F43:G43)</f>
        <v>0</v>
      </c>
      <c r="I43" s="393"/>
      <c r="J43" s="253"/>
      <c r="K43" s="254"/>
      <c r="L43" s="254"/>
      <c r="M43" s="255"/>
      <c r="N43" s="246">
        <f t="shared" ref="N43:N44" si="22">F43+J43</f>
        <v>0</v>
      </c>
      <c r="O43" s="247">
        <f t="shared" ref="O43:O44" si="23">K43+G43</f>
        <v>0</v>
      </c>
      <c r="P43" s="247">
        <f t="shared" ref="P43:P44" si="24">SUM(N43:O43)</f>
        <v>0</v>
      </c>
      <c r="Q43" s="240">
        <f t="shared" ref="Q43:Q44" si="25">M43+I43</f>
        <v>0</v>
      </c>
      <c r="R43" s="251">
        <f>P43/$P$85</f>
        <v>0</v>
      </c>
      <c r="S43" s="251" t="str">
        <f t="shared" ref="S43:S44" si="26">IFERROR(Q43/P43,"")</f>
        <v/>
      </c>
      <c r="T43" s="407"/>
    </row>
    <row r="44" spans="1:20">
      <c r="A44" s="243">
        <f t="shared" si="1"/>
        <v>34</v>
      </c>
      <c r="B44" s="244"/>
      <c r="C44" s="244"/>
      <c r="D44" s="231" t="s">
        <v>120</v>
      </c>
      <c r="E44" s="245">
        <v>4190</v>
      </c>
      <c r="F44" s="246">
        <f>'Qtr 1 Budget'!H44</f>
        <v>0</v>
      </c>
      <c r="G44" s="392"/>
      <c r="H44" s="247">
        <f t="shared" si="21"/>
        <v>0</v>
      </c>
      <c r="I44" s="393"/>
      <c r="J44" s="246">
        <f>'Qtr 1 Budget'!L44</f>
        <v>0</v>
      </c>
      <c r="K44" s="392"/>
      <c r="L44" s="247">
        <f t="shared" ref="L44" si="27">SUM(J44:K44)</f>
        <v>0</v>
      </c>
      <c r="M44" s="393"/>
      <c r="N44" s="246">
        <f t="shared" si="22"/>
        <v>0</v>
      </c>
      <c r="O44" s="247">
        <f t="shared" si="23"/>
        <v>0</v>
      </c>
      <c r="P44" s="247">
        <f t="shared" si="24"/>
        <v>0</v>
      </c>
      <c r="Q44" s="240">
        <f t="shared" si="25"/>
        <v>0</v>
      </c>
      <c r="R44" s="251">
        <f>P44/$P$85</f>
        <v>0</v>
      </c>
      <c r="S44" s="251" t="str">
        <f t="shared" si="26"/>
        <v/>
      </c>
      <c r="T44" s="407"/>
    </row>
    <row r="45" spans="1:20">
      <c r="A45" s="243">
        <f t="shared" si="1"/>
        <v>35</v>
      </c>
      <c r="B45" s="244"/>
      <c r="C45" s="244" t="s">
        <v>54</v>
      </c>
      <c r="D45" s="231"/>
      <c r="E45" s="237"/>
      <c r="F45" s="249"/>
      <c r="G45" s="250"/>
      <c r="H45" s="250"/>
      <c r="I45" s="240"/>
      <c r="J45" s="249"/>
      <c r="K45" s="250"/>
      <c r="L45" s="250"/>
      <c r="M45" s="240"/>
      <c r="N45" s="249"/>
      <c r="O45" s="250"/>
      <c r="P45" s="250"/>
      <c r="Q45" s="240"/>
      <c r="R45" s="251"/>
      <c r="S45" s="251"/>
      <c r="T45" s="414"/>
    </row>
    <row r="46" spans="1:20">
      <c r="A46" s="243">
        <f t="shared" si="1"/>
        <v>36</v>
      </c>
      <c r="B46" s="244"/>
      <c r="C46" s="244"/>
      <c r="D46" s="231" t="s">
        <v>111</v>
      </c>
      <c r="E46" s="245">
        <v>4330</v>
      </c>
      <c r="F46" s="246">
        <f>'Qtr 1 Budget'!H46</f>
        <v>0</v>
      </c>
      <c r="G46" s="392"/>
      <c r="H46" s="247">
        <f t="shared" si="21"/>
        <v>0</v>
      </c>
      <c r="I46" s="393"/>
      <c r="J46" s="246">
        <f>'Qtr 1 Budget'!L46</f>
        <v>0</v>
      </c>
      <c r="K46" s="392"/>
      <c r="L46" s="247">
        <f t="shared" ref="L46" si="28">SUM(J46:K46)</f>
        <v>0</v>
      </c>
      <c r="M46" s="393"/>
      <c r="N46" s="246">
        <f t="shared" ref="N46:N47" si="29">F46+J46</f>
        <v>0</v>
      </c>
      <c r="O46" s="247">
        <f t="shared" ref="O46:O47" si="30">K46+G46</f>
        <v>0</v>
      </c>
      <c r="P46" s="247">
        <f t="shared" ref="P46:P47" si="31">SUM(N46:O46)</f>
        <v>0</v>
      </c>
      <c r="Q46" s="240">
        <f t="shared" ref="Q46:Q47" si="32">M46+I46</f>
        <v>0</v>
      </c>
      <c r="R46" s="251">
        <f>P46/$P$85</f>
        <v>0</v>
      </c>
      <c r="S46" s="251" t="str">
        <f t="shared" ref="S46:S48" si="33">IFERROR(Q46/P46,"")</f>
        <v/>
      </c>
      <c r="T46" s="414"/>
    </row>
    <row r="47" spans="1:20">
      <c r="A47" s="243">
        <f t="shared" si="1"/>
        <v>37</v>
      </c>
      <c r="B47" s="244"/>
      <c r="C47" s="244"/>
      <c r="D47" s="231" t="s">
        <v>55</v>
      </c>
      <c r="E47" s="245">
        <v>4390</v>
      </c>
      <c r="F47" s="246">
        <f>'Qtr 1 Budget'!H47</f>
        <v>0</v>
      </c>
      <c r="G47" s="392"/>
      <c r="H47" s="247">
        <f t="shared" si="21"/>
        <v>0</v>
      </c>
      <c r="I47" s="393"/>
      <c r="J47" s="253"/>
      <c r="K47" s="254"/>
      <c r="L47" s="254"/>
      <c r="M47" s="255"/>
      <c r="N47" s="246">
        <f t="shared" si="29"/>
        <v>0</v>
      </c>
      <c r="O47" s="247">
        <f t="shared" si="30"/>
        <v>0</v>
      </c>
      <c r="P47" s="247">
        <f t="shared" si="31"/>
        <v>0</v>
      </c>
      <c r="Q47" s="240">
        <f t="shared" si="32"/>
        <v>0</v>
      </c>
      <c r="R47" s="251">
        <f>P47/$P$85</f>
        <v>0</v>
      </c>
      <c r="S47" s="251" t="str">
        <f t="shared" si="33"/>
        <v/>
      </c>
      <c r="T47" s="407"/>
    </row>
    <row r="48" spans="1:20">
      <c r="A48" s="243">
        <f t="shared" si="1"/>
        <v>38</v>
      </c>
      <c r="B48" s="244"/>
      <c r="C48" s="244"/>
      <c r="D48" s="231"/>
      <c r="E48" s="245"/>
      <c r="F48" s="246">
        <f>'Qtr 1 Budget'!H48</f>
        <v>0</v>
      </c>
      <c r="G48" s="392"/>
      <c r="H48" s="247">
        <f t="shared" si="21"/>
        <v>0</v>
      </c>
      <c r="I48" s="393"/>
      <c r="J48" s="246">
        <f>'Qtr 1 Budget'!L48</f>
        <v>0</v>
      </c>
      <c r="K48" s="392"/>
      <c r="L48" s="247">
        <f t="shared" ref="L48:L51" si="34">SUM(J48:K48)</f>
        <v>0</v>
      </c>
      <c r="M48" s="393"/>
      <c r="N48" s="246">
        <f>F48+J48</f>
        <v>0</v>
      </c>
      <c r="O48" s="247">
        <f>K48+G48</f>
        <v>0</v>
      </c>
      <c r="P48" s="247">
        <f>SUM(N48:O48)</f>
        <v>0</v>
      </c>
      <c r="Q48" s="240">
        <f>M48+I48</f>
        <v>0</v>
      </c>
      <c r="R48" s="251">
        <f>P48/$P$85</f>
        <v>0</v>
      </c>
      <c r="S48" s="251" t="str">
        <f t="shared" si="33"/>
        <v/>
      </c>
      <c r="T48" s="407"/>
    </row>
    <row r="49" spans="1:20">
      <c r="A49" s="243">
        <f t="shared" si="1"/>
        <v>39</v>
      </c>
      <c r="B49" s="244" t="s">
        <v>56</v>
      </c>
      <c r="C49" s="244"/>
      <c r="D49" s="231"/>
      <c r="E49" s="237"/>
      <c r="F49" s="249"/>
      <c r="G49" s="250"/>
      <c r="H49" s="250"/>
      <c r="I49" s="240"/>
      <c r="J49" s="249"/>
      <c r="K49" s="250"/>
      <c r="L49" s="250"/>
      <c r="M49" s="240"/>
      <c r="N49" s="249"/>
      <c r="O49" s="250"/>
      <c r="P49" s="250"/>
      <c r="Q49" s="240"/>
      <c r="R49" s="251"/>
      <c r="S49" s="251"/>
      <c r="T49" s="414"/>
    </row>
    <row r="50" spans="1:20">
      <c r="A50" s="243">
        <f t="shared" si="1"/>
        <v>40</v>
      </c>
      <c r="B50" s="244"/>
      <c r="C50" s="244"/>
      <c r="D50" s="231" t="s">
        <v>112</v>
      </c>
      <c r="E50" s="245">
        <v>4510</v>
      </c>
      <c r="F50" s="249"/>
      <c r="G50" s="250"/>
      <c r="H50" s="250"/>
      <c r="I50" s="240"/>
      <c r="J50" s="246">
        <f>'Qtr 1 Budget'!L50</f>
        <v>0</v>
      </c>
      <c r="K50" s="392"/>
      <c r="L50" s="247">
        <f t="shared" si="34"/>
        <v>0</v>
      </c>
      <c r="M50" s="393"/>
      <c r="N50" s="246">
        <f t="shared" ref="N50:N51" si="35">F50+J50</f>
        <v>0</v>
      </c>
      <c r="O50" s="247">
        <f t="shared" ref="O50:O51" si="36">K50+G50</f>
        <v>0</v>
      </c>
      <c r="P50" s="247">
        <f t="shared" ref="P50:P51" si="37">SUM(N50:O50)</f>
        <v>0</v>
      </c>
      <c r="Q50" s="240">
        <f t="shared" ref="Q50:Q51" si="38">M50+I50</f>
        <v>0</v>
      </c>
      <c r="R50" s="251">
        <f>P50/$P$85</f>
        <v>0</v>
      </c>
      <c r="S50" s="251" t="str">
        <f t="shared" ref="S50:S51" si="39">IFERROR(Q50/P50,"")</f>
        <v/>
      </c>
      <c r="T50" s="407"/>
    </row>
    <row r="51" spans="1:20">
      <c r="A51" s="243">
        <f t="shared" si="1"/>
        <v>41</v>
      </c>
      <c r="B51" s="244"/>
      <c r="C51" s="244"/>
      <c r="D51" s="231" t="s">
        <v>3</v>
      </c>
      <c r="E51" s="245">
        <v>4515</v>
      </c>
      <c r="F51" s="249"/>
      <c r="G51" s="250"/>
      <c r="H51" s="250"/>
      <c r="I51" s="240"/>
      <c r="J51" s="246">
        <f>'Qtr 1 Budget'!L51</f>
        <v>250155.56926413145</v>
      </c>
      <c r="K51" s="392"/>
      <c r="L51" s="247">
        <f t="shared" si="34"/>
        <v>250155.56926413145</v>
      </c>
      <c r="M51" s="393"/>
      <c r="N51" s="246">
        <f t="shared" si="35"/>
        <v>250155.56926413145</v>
      </c>
      <c r="O51" s="247">
        <f t="shared" si="36"/>
        <v>0</v>
      </c>
      <c r="P51" s="247">
        <f t="shared" si="37"/>
        <v>250155.56926413145</v>
      </c>
      <c r="Q51" s="240">
        <f t="shared" si="38"/>
        <v>0</v>
      </c>
      <c r="R51" s="251">
        <f>P51/$P$85</f>
        <v>5.0840344622513495E-2</v>
      </c>
      <c r="S51" s="251">
        <f t="shared" si="39"/>
        <v>0</v>
      </c>
      <c r="T51" s="407"/>
    </row>
    <row r="52" spans="1:20">
      <c r="A52" s="243">
        <f t="shared" si="1"/>
        <v>42</v>
      </c>
      <c r="B52" s="244"/>
      <c r="C52" s="244"/>
      <c r="D52" s="231" t="s">
        <v>4</v>
      </c>
      <c r="E52" s="237"/>
      <c r="F52" s="249"/>
      <c r="G52" s="250"/>
      <c r="H52" s="250"/>
      <c r="I52" s="240"/>
      <c r="J52" s="249"/>
      <c r="K52" s="250"/>
      <c r="L52" s="250"/>
      <c r="M52" s="240"/>
      <c r="N52" s="249"/>
      <c r="O52" s="250"/>
      <c r="P52" s="250"/>
      <c r="Q52" s="240"/>
      <c r="R52" s="251"/>
      <c r="S52" s="251"/>
      <c r="T52" s="414"/>
    </row>
    <row r="53" spans="1:20">
      <c r="A53" s="243">
        <f t="shared" si="1"/>
        <v>43</v>
      </c>
      <c r="B53" s="244"/>
      <c r="C53" s="244"/>
      <c r="D53" s="231" t="s">
        <v>57</v>
      </c>
      <c r="E53" s="245" t="s">
        <v>58</v>
      </c>
      <c r="F53" s="249"/>
      <c r="G53" s="250"/>
      <c r="H53" s="250"/>
      <c r="I53" s="240"/>
      <c r="J53" s="246">
        <f>'Qtr 1 Budget'!L53</f>
        <v>51007</v>
      </c>
      <c r="K53" s="392"/>
      <c r="L53" s="247">
        <f t="shared" ref="L53:L56" si="40">SUM(J53:K53)</f>
        <v>51007</v>
      </c>
      <c r="M53" s="393"/>
      <c r="N53" s="246">
        <f t="shared" ref="N53:N56" si="41">F53+J53</f>
        <v>51007</v>
      </c>
      <c r="O53" s="247">
        <f t="shared" ref="O53:O56" si="42">K53+G53</f>
        <v>0</v>
      </c>
      <c r="P53" s="247">
        <f t="shared" ref="P53:P56" si="43">SUM(N53:O53)</f>
        <v>51007</v>
      </c>
      <c r="Q53" s="240">
        <f t="shared" ref="Q53:Q56" si="44">M53+I53</f>
        <v>0</v>
      </c>
      <c r="R53" s="251">
        <f>P53/$P$85</f>
        <v>1.0366403057860577E-2</v>
      </c>
      <c r="S53" s="251">
        <f t="shared" ref="S53:S56" si="45">IFERROR(Q53/P53,"")</f>
        <v>0</v>
      </c>
      <c r="T53" s="407"/>
    </row>
    <row r="54" spans="1:20">
      <c r="A54" s="243">
        <f t="shared" si="1"/>
        <v>44</v>
      </c>
      <c r="B54" s="244"/>
      <c r="C54" s="244"/>
      <c r="D54" s="231" t="s">
        <v>59</v>
      </c>
      <c r="E54" s="245" t="s">
        <v>60</v>
      </c>
      <c r="F54" s="249"/>
      <c r="G54" s="250"/>
      <c r="H54" s="250"/>
      <c r="I54" s="240"/>
      <c r="J54" s="246">
        <f>'Qtr 1 Budget'!L54</f>
        <v>3000</v>
      </c>
      <c r="K54" s="392"/>
      <c r="L54" s="247">
        <f t="shared" si="40"/>
        <v>3000</v>
      </c>
      <c r="M54" s="393"/>
      <c r="N54" s="246">
        <f t="shared" si="41"/>
        <v>3000</v>
      </c>
      <c r="O54" s="247">
        <f t="shared" si="42"/>
        <v>0</v>
      </c>
      <c r="P54" s="247">
        <f t="shared" si="43"/>
        <v>3000</v>
      </c>
      <c r="Q54" s="240">
        <f t="shared" si="44"/>
        <v>0</v>
      </c>
      <c r="R54" s="251">
        <f>P54/$P$85</f>
        <v>6.0970473020529985E-4</v>
      </c>
      <c r="S54" s="251">
        <f t="shared" si="45"/>
        <v>0</v>
      </c>
      <c r="T54" s="407"/>
    </row>
    <row r="55" spans="1:20">
      <c r="A55" s="243">
        <f t="shared" si="1"/>
        <v>45</v>
      </c>
      <c r="B55" s="244"/>
      <c r="C55" s="244"/>
      <c r="D55" s="231" t="s">
        <v>140</v>
      </c>
      <c r="E55" s="245">
        <v>4535</v>
      </c>
      <c r="F55" s="249"/>
      <c r="G55" s="250"/>
      <c r="H55" s="250"/>
      <c r="I55" s="240"/>
      <c r="J55" s="246">
        <f>'Qtr 1 Budget'!L55</f>
        <v>0</v>
      </c>
      <c r="K55" s="392"/>
      <c r="L55" s="247">
        <f t="shared" si="40"/>
        <v>0</v>
      </c>
      <c r="M55" s="393"/>
      <c r="N55" s="246">
        <f t="shared" si="41"/>
        <v>0</v>
      </c>
      <c r="O55" s="247">
        <f t="shared" si="42"/>
        <v>0</v>
      </c>
      <c r="P55" s="247">
        <f t="shared" si="43"/>
        <v>0</v>
      </c>
      <c r="Q55" s="240">
        <f t="shared" si="44"/>
        <v>0</v>
      </c>
      <c r="R55" s="251">
        <f>P55/$P$85</f>
        <v>0</v>
      </c>
      <c r="S55" s="251" t="str">
        <f t="shared" si="45"/>
        <v/>
      </c>
      <c r="T55" s="407"/>
    </row>
    <row r="56" spans="1:20">
      <c r="A56" s="243">
        <f t="shared" si="1"/>
        <v>46</v>
      </c>
      <c r="B56" s="244"/>
      <c r="C56" s="244"/>
      <c r="D56" s="231" t="s">
        <v>61</v>
      </c>
      <c r="E56" s="245" t="s">
        <v>62</v>
      </c>
      <c r="F56" s="249"/>
      <c r="G56" s="250"/>
      <c r="H56" s="250"/>
      <c r="I56" s="240"/>
      <c r="J56" s="246">
        <f>'Qtr 1 Budget'!L56</f>
        <v>0</v>
      </c>
      <c r="K56" s="392"/>
      <c r="L56" s="247">
        <f t="shared" si="40"/>
        <v>0</v>
      </c>
      <c r="M56" s="393"/>
      <c r="N56" s="246">
        <f t="shared" si="41"/>
        <v>0</v>
      </c>
      <c r="O56" s="247">
        <f t="shared" si="42"/>
        <v>0</v>
      </c>
      <c r="P56" s="247">
        <f t="shared" si="43"/>
        <v>0</v>
      </c>
      <c r="Q56" s="240">
        <f t="shared" si="44"/>
        <v>0</v>
      </c>
      <c r="R56" s="251">
        <f>P56/$P$85</f>
        <v>0</v>
      </c>
      <c r="S56" s="251" t="str">
        <f t="shared" si="45"/>
        <v/>
      </c>
      <c r="T56" s="407"/>
    </row>
    <row r="57" spans="1:20">
      <c r="A57" s="243">
        <f t="shared" si="1"/>
        <v>47</v>
      </c>
      <c r="B57" s="244"/>
      <c r="C57" s="244"/>
      <c r="D57" s="231" t="s">
        <v>138</v>
      </c>
      <c r="E57" s="237"/>
      <c r="F57" s="249"/>
      <c r="G57" s="250"/>
      <c r="H57" s="250"/>
      <c r="I57" s="240"/>
      <c r="J57" s="249"/>
      <c r="K57" s="250"/>
      <c r="L57" s="250"/>
      <c r="M57" s="240"/>
      <c r="N57" s="249"/>
      <c r="O57" s="250"/>
      <c r="P57" s="250"/>
      <c r="Q57" s="240"/>
      <c r="R57" s="251"/>
      <c r="S57" s="251"/>
      <c r="T57" s="414"/>
    </row>
    <row r="58" spans="1:20">
      <c r="A58" s="243">
        <f t="shared" si="1"/>
        <v>48</v>
      </c>
      <c r="B58" s="244"/>
      <c r="C58" s="244"/>
      <c r="D58" s="231" t="s">
        <v>135</v>
      </c>
      <c r="E58" s="245" t="s">
        <v>63</v>
      </c>
      <c r="F58" s="249"/>
      <c r="G58" s="250"/>
      <c r="H58" s="250"/>
      <c r="I58" s="240"/>
      <c r="J58" s="246">
        <f>'Qtr 1 Budget'!L58</f>
        <v>650000</v>
      </c>
      <c r="K58" s="392"/>
      <c r="L58" s="247">
        <f t="shared" ref="L58:L79" si="46">SUM(J58:K58)</f>
        <v>650000</v>
      </c>
      <c r="M58" s="393"/>
      <c r="N58" s="246">
        <f t="shared" ref="N58:N79" si="47">F58+J58</f>
        <v>650000</v>
      </c>
      <c r="O58" s="247">
        <f t="shared" ref="O58:O79" si="48">K58+G58</f>
        <v>0</v>
      </c>
      <c r="P58" s="247">
        <f t="shared" ref="P58:P79" si="49">SUM(N58:O58)</f>
        <v>650000</v>
      </c>
      <c r="Q58" s="240">
        <f t="shared" ref="Q58:Q79" si="50">M58+I58</f>
        <v>0</v>
      </c>
      <c r="R58" s="251">
        <f t="shared" ref="R58:R65" si="51">P58/$P$85</f>
        <v>0.13210269154448165</v>
      </c>
      <c r="S58" s="251">
        <f t="shared" ref="S58:S65" si="52">IFERROR(Q58/P58,"")</f>
        <v>0</v>
      </c>
      <c r="T58" s="407"/>
    </row>
    <row r="59" spans="1:20">
      <c r="A59" s="243">
        <f t="shared" si="1"/>
        <v>49</v>
      </c>
      <c r="B59" s="244"/>
      <c r="C59" s="244"/>
      <c r="D59" s="231" t="s">
        <v>136</v>
      </c>
      <c r="E59" s="245">
        <v>4550</v>
      </c>
      <c r="F59" s="249"/>
      <c r="G59" s="250"/>
      <c r="H59" s="250"/>
      <c r="I59" s="240"/>
      <c r="J59" s="246">
        <f>'Qtr 1 Budget'!L59</f>
        <v>0</v>
      </c>
      <c r="K59" s="392"/>
      <c r="L59" s="247">
        <f t="shared" si="46"/>
        <v>0</v>
      </c>
      <c r="M59" s="393"/>
      <c r="N59" s="246">
        <f t="shared" si="47"/>
        <v>0</v>
      </c>
      <c r="O59" s="247">
        <f t="shared" si="48"/>
        <v>0</v>
      </c>
      <c r="P59" s="247">
        <f t="shared" si="49"/>
        <v>0</v>
      </c>
      <c r="Q59" s="240">
        <f t="shared" si="50"/>
        <v>0</v>
      </c>
      <c r="R59" s="251">
        <f t="shared" si="51"/>
        <v>0</v>
      </c>
      <c r="S59" s="251" t="str">
        <f t="shared" si="52"/>
        <v/>
      </c>
      <c r="T59" s="407"/>
    </row>
    <row r="60" spans="1:20">
      <c r="A60" s="243">
        <f t="shared" si="1"/>
        <v>50</v>
      </c>
      <c r="B60" s="244"/>
      <c r="C60" s="244"/>
      <c r="D60" s="231" t="s">
        <v>64</v>
      </c>
      <c r="E60" s="245" t="s">
        <v>65</v>
      </c>
      <c r="F60" s="249"/>
      <c r="G60" s="250"/>
      <c r="H60" s="250"/>
      <c r="I60" s="240"/>
      <c r="J60" s="246">
        <f>'Qtr 1 Budget'!L60</f>
        <v>0</v>
      </c>
      <c r="K60" s="392"/>
      <c r="L60" s="247">
        <f t="shared" si="46"/>
        <v>0</v>
      </c>
      <c r="M60" s="393"/>
      <c r="N60" s="246">
        <f t="shared" si="47"/>
        <v>0</v>
      </c>
      <c r="O60" s="247">
        <f t="shared" si="48"/>
        <v>0</v>
      </c>
      <c r="P60" s="247">
        <f t="shared" si="49"/>
        <v>0</v>
      </c>
      <c r="Q60" s="240">
        <f t="shared" si="50"/>
        <v>0</v>
      </c>
      <c r="R60" s="251">
        <f t="shared" si="51"/>
        <v>0</v>
      </c>
      <c r="S60" s="251" t="str">
        <f t="shared" si="52"/>
        <v/>
      </c>
      <c r="T60" s="407"/>
    </row>
    <row r="61" spans="1:20">
      <c r="A61" s="243">
        <f t="shared" si="1"/>
        <v>51</v>
      </c>
      <c r="B61" s="244"/>
      <c r="C61" s="244"/>
      <c r="D61" s="231" t="s">
        <v>142</v>
      </c>
      <c r="E61" s="245" t="s">
        <v>66</v>
      </c>
      <c r="F61" s="249"/>
      <c r="G61" s="250"/>
      <c r="H61" s="250"/>
      <c r="I61" s="240"/>
      <c r="J61" s="246">
        <f>'Qtr 1 Budget'!L61</f>
        <v>29006</v>
      </c>
      <c r="K61" s="392"/>
      <c r="L61" s="247">
        <f t="shared" si="46"/>
        <v>29006</v>
      </c>
      <c r="M61" s="393"/>
      <c r="N61" s="246">
        <f t="shared" si="47"/>
        <v>29006</v>
      </c>
      <c r="O61" s="247">
        <f t="shared" si="48"/>
        <v>0</v>
      </c>
      <c r="P61" s="247">
        <f t="shared" si="49"/>
        <v>29006</v>
      </c>
      <c r="Q61" s="240">
        <f t="shared" si="50"/>
        <v>0</v>
      </c>
      <c r="R61" s="251">
        <f t="shared" si="51"/>
        <v>5.8950318014449766E-3</v>
      </c>
      <c r="S61" s="251">
        <f t="shared" si="52"/>
        <v>0</v>
      </c>
      <c r="T61" s="407"/>
    </row>
    <row r="62" spans="1:20">
      <c r="A62" s="243">
        <f t="shared" si="1"/>
        <v>52</v>
      </c>
      <c r="B62" s="244"/>
      <c r="C62" s="244"/>
      <c r="D62" s="231" t="s">
        <v>151</v>
      </c>
      <c r="E62" s="245" t="s">
        <v>67</v>
      </c>
      <c r="F62" s="249"/>
      <c r="G62" s="250"/>
      <c r="H62" s="250"/>
      <c r="I62" s="240"/>
      <c r="J62" s="246">
        <f>'Qtr 1 Budget'!L62</f>
        <v>16072</v>
      </c>
      <c r="K62" s="392"/>
      <c r="L62" s="247">
        <f t="shared" si="46"/>
        <v>16072</v>
      </c>
      <c r="M62" s="393"/>
      <c r="N62" s="246">
        <f t="shared" si="47"/>
        <v>16072</v>
      </c>
      <c r="O62" s="247">
        <f t="shared" si="48"/>
        <v>0</v>
      </c>
      <c r="P62" s="247">
        <f t="shared" si="49"/>
        <v>16072</v>
      </c>
      <c r="Q62" s="240">
        <f t="shared" si="50"/>
        <v>0</v>
      </c>
      <c r="R62" s="251">
        <f t="shared" si="51"/>
        <v>3.2663914746198599E-3</v>
      </c>
      <c r="S62" s="251">
        <f t="shared" si="52"/>
        <v>0</v>
      </c>
      <c r="T62" s="407"/>
    </row>
    <row r="63" spans="1:20">
      <c r="A63" s="243">
        <f t="shared" si="1"/>
        <v>53</v>
      </c>
      <c r="B63" s="244"/>
      <c r="C63" s="244"/>
      <c r="D63" s="231" t="s">
        <v>143</v>
      </c>
      <c r="E63" s="245">
        <v>4559</v>
      </c>
      <c r="F63" s="249"/>
      <c r="G63" s="250"/>
      <c r="H63" s="250"/>
      <c r="I63" s="240"/>
      <c r="J63" s="246">
        <f>'Qtr 1 Budget'!L63</f>
        <v>0</v>
      </c>
      <c r="K63" s="392"/>
      <c r="L63" s="247">
        <f t="shared" si="46"/>
        <v>0</v>
      </c>
      <c r="M63" s="393"/>
      <c r="N63" s="246">
        <f t="shared" si="47"/>
        <v>0</v>
      </c>
      <c r="O63" s="247">
        <f t="shared" si="48"/>
        <v>0</v>
      </c>
      <c r="P63" s="247">
        <f t="shared" si="49"/>
        <v>0</v>
      </c>
      <c r="Q63" s="240">
        <f t="shared" si="50"/>
        <v>0</v>
      </c>
      <c r="R63" s="251">
        <f t="shared" si="51"/>
        <v>0</v>
      </c>
      <c r="S63" s="251" t="str">
        <f t="shared" si="52"/>
        <v/>
      </c>
      <c r="T63" s="407"/>
    </row>
    <row r="64" spans="1:20">
      <c r="A64" s="243">
        <f t="shared" si="1"/>
        <v>54</v>
      </c>
      <c r="B64" s="244"/>
      <c r="C64" s="244"/>
      <c r="D64" s="231" t="s">
        <v>152</v>
      </c>
      <c r="E64" s="245">
        <v>4553</v>
      </c>
      <c r="F64" s="249"/>
      <c r="G64" s="250"/>
      <c r="H64" s="250"/>
      <c r="I64" s="240"/>
      <c r="J64" s="246">
        <f>'Qtr 1 Budget'!L64</f>
        <v>0</v>
      </c>
      <c r="K64" s="392"/>
      <c r="L64" s="247">
        <f t="shared" si="46"/>
        <v>0</v>
      </c>
      <c r="M64" s="393"/>
      <c r="N64" s="246">
        <f t="shared" si="47"/>
        <v>0</v>
      </c>
      <c r="O64" s="247">
        <f t="shared" si="48"/>
        <v>0</v>
      </c>
      <c r="P64" s="247">
        <f t="shared" si="49"/>
        <v>0</v>
      </c>
      <c r="Q64" s="240">
        <f t="shared" si="50"/>
        <v>0</v>
      </c>
      <c r="R64" s="251">
        <f t="shared" si="51"/>
        <v>0</v>
      </c>
      <c r="S64" s="251" t="str">
        <f t="shared" si="52"/>
        <v/>
      </c>
      <c r="T64" s="407"/>
    </row>
    <row r="65" spans="1:20">
      <c r="A65" s="243">
        <f t="shared" si="1"/>
        <v>55</v>
      </c>
      <c r="B65" s="244"/>
      <c r="C65" s="244"/>
      <c r="D65" s="231" t="s">
        <v>141</v>
      </c>
      <c r="E65" s="245">
        <v>4559</v>
      </c>
      <c r="F65" s="249"/>
      <c r="G65" s="250"/>
      <c r="H65" s="250"/>
      <c r="I65" s="240"/>
      <c r="J65" s="246">
        <f>'Qtr 1 Budget'!L65</f>
        <v>0</v>
      </c>
      <c r="K65" s="392"/>
      <c r="L65" s="247">
        <f t="shared" si="46"/>
        <v>0</v>
      </c>
      <c r="M65" s="393"/>
      <c r="N65" s="246">
        <f t="shared" si="47"/>
        <v>0</v>
      </c>
      <c r="O65" s="247">
        <f t="shared" si="48"/>
        <v>0</v>
      </c>
      <c r="P65" s="247">
        <f t="shared" si="49"/>
        <v>0</v>
      </c>
      <c r="Q65" s="240">
        <f t="shared" si="50"/>
        <v>0</v>
      </c>
      <c r="R65" s="251">
        <f t="shared" si="51"/>
        <v>0</v>
      </c>
      <c r="S65" s="251" t="str">
        <f t="shared" si="52"/>
        <v/>
      </c>
      <c r="T65" s="407"/>
    </row>
    <row r="66" spans="1:20">
      <c r="A66" s="243">
        <f t="shared" si="1"/>
        <v>56</v>
      </c>
      <c r="B66" s="244"/>
      <c r="C66" s="244"/>
      <c r="D66" s="231" t="s">
        <v>189</v>
      </c>
      <c r="E66" s="245"/>
      <c r="F66" s="249"/>
      <c r="G66" s="250"/>
      <c r="H66" s="250"/>
      <c r="I66" s="240"/>
      <c r="J66" s="249"/>
      <c r="K66" s="250"/>
      <c r="L66" s="250"/>
      <c r="M66" s="240"/>
      <c r="N66" s="249"/>
      <c r="O66" s="250"/>
      <c r="P66" s="250"/>
      <c r="Q66" s="240"/>
      <c r="R66" s="251"/>
      <c r="S66" s="251"/>
      <c r="T66" s="414"/>
    </row>
    <row r="67" spans="1:20">
      <c r="A67" s="243">
        <f t="shared" si="1"/>
        <v>57</v>
      </c>
      <c r="B67" s="244"/>
      <c r="C67" s="244"/>
      <c r="D67" s="231" t="s">
        <v>153</v>
      </c>
      <c r="E67" s="245">
        <v>4590</v>
      </c>
      <c r="F67" s="249"/>
      <c r="G67" s="250"/>
      <c r="H67" s="250"/>
      <c r="I67" s="240"/>
      <c r="J67" s="246">
        <f>'Qtr 1 Budget'!L67</f>
        <v>0</v>
      </c>
      <c r="K67" s="392"/>
      <c r="L67" s="247">
        <f t="shared" si="46"/>
        <v>0</v>
      </c>
      <c r="M67" s="393"/>
      <c r="N67" s="246">
        <f t="shared" si="47"/>
        <v>0</v>
      </c>
      <c r="O67" s="247">
        <f t="shared" si="48"/>
        <v>0</v>
      </c>
      <c r="P67" s="247">
        <f t="shared" si="49"/>
        <v>0</v>
      </c>
      <c r="Q67" s="240">
        <f t="shared" si="50"/>
        <v>0</v>
      </c>
      <c r="R67" s="251">
        <f t="shared" ref="R67:R80" si="53">P67/$P$85</f>
        <v>0</v>
      </c>
      <c r="S67" s="251" t="str">
        <f t="shared" ref="S67:S79" si="54">IFERROR(Q67/P67,"")</f>
        <v/>
      </c>
      <c r="T67" s="407"/>
    </row>
    <row r="68" spans="1:20">
      <c r="A68" s="243">
        <f t="shared" si="1"/>
        <v>58</v>
      </c>
      <c r="B68" s="244"/>
      <c r="C68" s="244"/>
      <c r="D68" s="231" t="s">
        <v>154</v>
      </c>
      <c r="E68" s="245">
        <v>4590</v>
      </c>
      <c r="F68" s="249"/>
      <c r="G68" s="250"/>
      <c r="H68" s="250"/>
      <c r="I68" s="240"/>
      <c r="J68" s="246">
        <f>'Qtr 1 Budget'!L68</f>
        <v>0</v>
      </c>
      <c r="K68" s="392"/>
      <c r="L68" s="247">
        <f t="shared" si="46"/>
        <v>0</v>
      </c>
      <c r="M68" s="393"/>
      <c r="N68" s="246">
        <f t="shared" si="47"/>
        <v>0</v>
      </c>
      <c r="O68" s="247">
        <f t="shared" si="48"/>
        <v>0</v>
      </c>
      <c r="P68" s="247">
        <f t="shared" si="49"/>
        <v>0</v>
      </c>
      <c r="Q68" s="240">
        <f t="shared" si="50"/>
        <v>0</v>
      </c>
      <c r="R68" s="251">
        <f t="shared" si="53"/>
        <v>0</v>
      </c>
      <c r="S68" s="251" t="str">
        <f t="shared" si="54"/>
        <v/>
      </c>
      <c r="T68" s="407"/>
    </row>
    <row r="69" spans="1:20">
      <c r="A69" s="243">
        <f t="shared" si="1"/>
        <v>59</v>
      </c>
      <c r="B69" s="244"/>
      <c r="C69" s="244"/>
      <c r="D69" s="231" t="s">
        <v>155</v>
      </c>
      <c r="E69" s="245">
        <v>4590</v>
      </c>
      <c r="F69" s="249"/>
      <c r="G69" s="250"/>
      <c r="H69" s="250"/>
      <c r="I69" s="240"/>
      <c r="J69" s="246">
        <f>'Qtr 1 Budget'!L69</f>
        <v>0</v>
      </c>
      <c r="K69" s="392"/>
      <c r="L69" s="247">
        <f t="shared" si="46"/>
        <v>0</v>
      </c>
      <c r="M69" s="393"/>
      <c r="N69" s="246">
        <f t="shared" si="47"/>
        <v>0</v>
      </c>
      <c r="O69" s="247">
        <f t="shared" si="48"/>
        <v>0</v>
      </c>
      <c r="P69" s="247">
        <f t="shared" si="49"/>
        <v>0</v>
      </c>
      <c r="Q69" s="240">
        <f t="shared" si="50"/>
        <v>0</v>
      </c>
      <c r="R69" s="251">
        <f t="shared" si="53"/>
        <v>0</v>
      </c>
      <c r="S69" s="251" t="str">
        <f t="shared" si="54"/>
        <v/>
      </c>
      <c r="T69" s="407"/>
    </row>
    <row r="70" spans="1:20">
      <c r="A70" s="243">
        <f t="shared" si="1"/>
        <v>60</v>
      </c>
      <c r="B70" s="244"/>
      <c r="C70" s="244"/>
      <c r="D70" s="231" t="s">
        <v>156</v>
      </c>
      <c r="E70" s="245">
        <v>4590</v>
      </c>
      <c r="F70" s="249"/>
      <c r="G70" s="250"/>
      <c r="H70" s="250"/>
      <c r="I70" s="240"/>
      <c r="J70" s="246">
        <f>'Qtr 1 Budget'!L70</f>
        <v>600000</v>
      </c>
      <c r="K70" s="392"/>
      <c r="L70" s="247">
        <f t="shared" si="46"/>
        <v>600000</v>
      </c>
      <c r="M70" s="393"/>
      <c r="N70" s="246">
        <f t="shared" si="47"/>
        <v>600000</v>
      </c>
      <c r="O70" s="247">
        <f t="shared" si="48"/>
        <v>0</v>
      </c>
      <c r="P70" s="247">
        <f t="shared" si="49"/>
        <v>600000</v>
      </c>
      <c r="Q70" s="240">
        <f t="shared" si="50"/>
        <v>0</v>
      </c>
      <c r="R70" s="251">
        <f t="shared" si="53"/>
        <v>0.12194094604105998</v>
      </c>
      <c r="S70" s="251">
        <f t="shared" si="54"/>
        <v>0</v>
      </c>
      <c r="T70" s="407"/>
    </row>
    <row r="71" spans="1:20">
      <c r="A71" s="243">
        <f t="shared" si="1"/>
        <v>61</v>
      </c>
      <c r="B71" s="244"/>
      <c r="C71" s="244"/>
      <c r="D71" s="231" t="s">
        <v>157</v>
      </c>
      <c r="E71" s="245">
        <v>4590</v>
      </c>
      <c r="F71" s="249"/>
      <c r="G71" s="250"/>
      <c r="H71" s="250"/>
      <c r="I71" s="240"/>
      <c r="J71" s="246">
        <f>'Qtr 1 Budget'!L71</f>
        <v>0</v>
      </c>
      <c r="K71" s="392"/>
      <c r="L71" s="247">
        <f t="shared" si="46"/>
        <v>0</v>
      </c>
      <c r="M71" s="393"/>
      <c r="N71" s="246">
        <f t="shared" si="47"/>
        <v>0</v>
      </c>
      <c r="O71" s="247">
        <f t="shared" si="48"/>
        <v>0</v>
      </c>
      <c r="P71" s="247">
        <f t="shared" si="49"/>
        <v>0</v>
      </c>
      <c r="Q71" s="240">
        <f t="shared" si="50"/>
        <v>0</v>
      </c>
      <c r="R71" s="251">
        <f t="shared" si="53"/>
        <v>0</v>
      </c>
      <c r="S71" s="251" t="str">
        <f t="shared" si="54"/>
        <v/>
      </c>
      <c r="T71" s="407"/>
    </row>
    <row r="72" spans="1:20">
      <c r="A72" s="243">
        <f t="shared" si="1"/>
        <v>62</v>
      </c>
      <c r="B72" s="244"/>
      <c r="C72" s="244"/>
      <c r="D72" s="231" t="s">
        <v>211</v>
      </c>
      <c r="E72" s="245">
        <v>4590</v>
      </c>
      <c r="F72" s="249"/>
      <c r="G72" s="250"/>
      <c r="H72" s="250"/>
      <c r="I72" s="240"/>
      <c r="J72" s="246">
        <f>'Qtr 1 Budget'!L72</f>
        <v>0</v>
      </c>
      <c r="K72" s="392"/>
      <c r="L72" s="247">
        <f t="shared" si="46"/>
        <v>0</v>
      </c>
      <c r="M72" s="393"/>
      <c r="N72" s="246">
        <f t="shared" si="47"/>
        <v>0</v>
      </c>
      <c r="O72" s="247">
        <f t="shared" si="48"/>
        <v>0</v>
      </c>
      <c r="P72" s="247">
        <f t="shared" si="49"/>
        <v>0</v>
      </c>
      <c r="Q72" s="240">
        <f t="shared" si="50"/>
        <v>0</v>
      </c>
      <c r="R72" s="251">
        <f t="shared" si="53"/>
        <v>0</v>
      </c>
      <c r="S72" s="251" t="str">
        <f t="shared" si="54"/>
        <v/>
      </c>
      <c r="T72" s="407"/>
    </row>
    <row r="73" spans="1:20">
      <c r="A73" s="243">
        <f t="shared" si="1"/>
        <v>63</v>
      </c>
      <c r="B73" s="244"/>
      <c r="C73" s="244"/>
      <c r="D73" s="231" t="s">
        <v>113</v>
      </c>
      <c r="E73" s="245">
        <v>4580</v>
      </c>
      <c r="F73" s="249"/>
      <c r="G73" s="250"/>
      <c r="H73" s="250"/>
      <c r="I73" s="240"/>
      <c r="J73" s="246">
        <f>'Qtr 1 Budget'!L73</f>
        <v>0</v>
      </c>
      <c r="K73" s="392"/>
      <c r="L73" s="247">
        <f t="shared" si="46"/>
        <v>0</v>
      </c>
      <c r="M73" s="393"/>
      <c r="N73" s="246">
        <f t="shared" si="47"/>
        <v>0</v>
      </c>
      <c r="O73" s="247">
        <f t="shared" si="48"/>
        <v>0</v>
      </c>
      <c r="P73" s="247">
        <f t="shared" si="49"/>
        <v>0</v>
      </c>
      <c r="Q73" s="240">
        <f t="shared" si="50"/>
        <v>0</v>
      </c>
      <c r="R73" s="251">
        <f t="shared" si="53"/>
        <v>0</v>
      </c>
      <c r="S73" s="251" t="str">
        <f t="shared" si="54"/>
        <v/>
      </c>
      <c r="T73" s="407"/>
    </row>
    <row r="74" spans="1:20">
      <c r="A74" s="243">
        <f t="shared" si="1"/>
        <v>64</v>
      </c>
      <c r="B74" s="244"/>
      <c r="C74" s="244"/>
      <c r="D74" s="231" t="s">
        <v>190</v>
      </c>
      <c r="E74" s="245" t="s">
        <v>68</v>
      </c>
      <c r="F74" s="249"/>
      <c r="G74" s="250"/>
      <c r="H74" s="250"/>
      <c r="I74" s="240"/>
      <c r="J74" s="246">
        <f>'Qtr 1 Budget'!L74</f>
        <v>0</v>
      </c>
      <c r="K74" s="392"/>
      <c r="L74" s="247">
        <f t="shared" si="46"/>
        <v>0</v>
      </c>
      <c r="M74" s="393"/>
      <c r="N74" s="246">
        <f t="shared" si="47"/>
        <v>0</v>
      </c>
      <c r="O74" s="247">
        <f t="shared" si="48"/>
        <v>0</v>
      </c>
      <c r="P74" s="247">
        <f t="shared" si="49"/>
        <v>0</v>
      </c>
      <c r="Q74" s="240">
        <f t="shared" si="50"/>
        <v>0</v>
      </c>
      <c r="R74" s="251">
        <f t="shared" si="53"/>
        <v>0</v>
      </c>
      <c r="S74" s="251" t="str">
        <f t="shared" si="54"/>
        <v/>
      </c>
      <c r="T74" s="407"/>
    </row>
    <row r="75" spans="1:20">
      <c r="A75" s="243">
        <f t="shared" si="1"/>
        <v>65</v>
      </c>
      <c r="B75" s="244"/>
      <c r="C75" s="244"/>
      <c r="D75" s="231" t="s">
        <v>139</v>
      </c>
      <c r="E75" s="245">
        <v>4590</v>
      </c>
      <c r="F75" s="249"/>
      <c r="G75" s="250"/>
      <c r="H75" s="250"/>
      <c r="I75" s="240"/>
      <c r="J75" s="246">
        <f>'Qtr 1 Budget'!L75</f>
        <v>0</v>
      </c>
      <c r="K75" s="392"/>
      <c r="L75" s="247">
        <f t="shared" si="46"/>
        <v>0</v>
      </c>
      <c r="M75" s="393"/>
      <c r="N75" s="246">
        <f t="shared" si="47"/>
        <v>0</v>
      </c>
      <c r="O75" s="247">
        <f t="shared" si="48"/>
        <v>0</v>
      </c>
      <c r="P75" s="247">
        <f t="shared" si="49"/>
        <v>0</v>
      </c>
      <c r="Q75" s="240">
        <f t="shared" si="50"/>
        <v>0</v>
      </c>
      <c r="R75" s="251">
        <f t="shared" si="53"/>
        <v>0</v>
      </c>
      <c r="S75" s="251" t="str">
        <f t="shared" si="54"/>
        <v/>
      </c>
      <c r="T75" s="407"/>
    </row>
    <row r="76" spans="1:20">
      <c r="A76" s="243">
        <f t="shared" si="1"/>
        <v>66</v>
      </c>
      <c r="B76" s="396"/>
      <c r="C76" s="396" t="s">
        <v>181</v>
      </c>
      <c r="D76" s="394"/>
      <c r="E76" s="395"/>
      <c r="F76" s="246">
        <f>'Qtr 1 Budget'!H76</f>
        <v>0</v>
      </c>
      <c r="G76" s="392"/>
      <c r="H76" s="247">
        <f t="shared" si="21"/>
        <v>0</v>
      </c>
      <c r="I76" s="393"/>
      <c r="J76" s="246">
        <f>'Qtr 1 Budget'!L76</f>
        <v>0</v>
      </c>
      <c r="K76" s="392"/>
      <c r="L76" s="247">
        <f t="shared" si="46"/>
        <v>0</v>
      </c>
      <c r="M76" s="393"/>
      <c r="N76" s="246">
        <f t="shared" si="47"/>
        <v>0</v>
      </c>
      <c r="O76" s="247">
        <f t="shared" si="48"/>
        <v>0</v>
      </c>
      <c r="P76" s="247">
        <f t="shared" si="49"/>
        <v>0</v>
      </c>
      <c r="Q76" s="240">
        <f t="shared" si="50"/>
        <v>0</v>
      </c>
      <c r="R76" s="251">
        <f t="shared" si="53"/>
        <v>0</v>
      </c>
      <c r="S76" s="251" t="str">
        <f t="shared" si="54"/>
        <v/>
      </c>
      <c r="T76" s="407"/>
    </row>
    <row r="77" spans="1:20">
      <c r="A77" s="243">
        <f t="shared" si="1"/>
        <v>67</v>
      </c>
      <c r="B77" s="396"/>
      <c r="C77" s="396" t="s">
        <v>181</v>
      </c>
      <c r="D77" s="394"/>
      <c r="E77" s="395"/>
      <c r="F77" s="246">
        <f>'Qtr 1 Budget'!H77</f>
        <v>0</v>
      </c>
      <c r="G77" s="392"/>
      <c r="H77" s="247">
        <f t="shared" si="21"/>
        <v>0</v>
      </c>
      <c r="I77" s="393"/>
      <c r="J77" s="246">
        <f>'Qtr 1 Budget'!L77</f>
        <v>0</v>
      </c>
      <c r="K77" s="392"/>
      <c r="L77" s="247">
        <f t="shared" si="46"/>
        <v>0</v>
      </c>
      <c r="M77" s="393"/>
      <c r="N77" s="246">
        <f t="shared" si="47"/>
        <v>0</v>
      </c>
      <c r="O77" s="247">
        <f t="shared" si="48"/>
        <v>0</v>
      </c>
      <c r="P77" s="247">
        <f t="shared" si="49"/>
        <v>0</v>
      </c>
      <c r="Q77" s="240">
        <f t="shared" si="50"/>
        <v>0</v>
      </c>
      <c r="R77" s="251">
        <f t="shared" si="53"/>
        <v>0</v>
      </c>
      <c r="S77" s="251" t="str">
        <f t="shared" si="54"/>
        <v/>
      </c>
      <c r="T77" s="407"/>
    </row>
    <row r="78" spans="1:20" ht="14.25" customHeight="1">
      <c r="A78" s="243">
        <f t="shared" ref="A78:A141" si="55">A77+1</f>
        <v>68</v>
      </c>
      <c r="B78" s="396"/>
      <c r="C78" s="396" t="s">
        <v>181</v>
      </c>
      <c r="D78" s="394"/>
      <c r="E78" s="395"/>
      <c r="F78" s="246">
        <f>'Qtr 1 Budget'!H78</f>
        <v>0</v>
      </c>
      <c r="G78" s="392"/>
      <c r="H78" s="247">
        <f t="shared" si="21"/>
        <v>0</v>
      </c>
      <c r="I78" s="393"/>
      <c r="J78" s="246">
        <f>'Qtr 1 Budget'!L78</f>
        <v>0</v>
      </c>
      <c r="K78" s="392"/>
      <c r="L78" s="247">
        <f t="shared" si="46"/>
        <v>0</v>
      </c>
      <c r="M78" s="393"/>
      <c r="N78" s="246">
        <f t="shared" si="47"/>
        <v>0</v>
      </c>
      <c r="O78" s="247">
        <f t="shared" si="48"/>
        <v>0</v>
      </c>
      <c r="P78" s="247">
        <f t="shared" si="49"/>
        <v>0</v>
      </c>
      <c r="Q78" s="240">
        <f t="shared" si="50"/>
        <v>0</v>
      </c>
      <c r="R78" s="251">
        <f t="shared" si="53"/>
        <v>0</v>
      </c>
      <c r="S78" s="251" t="str">
        <f t="shared" si="54"/>
        <v/>
      </c>
      <c r="T78" s="407"/>
    </row>
    <row r="79" spans="1:20" ht="14.25" customHeight="1">
      <c r="A79" s="243">
        <f t="shared" si="55"/>
        <v>69</v>
      </c>
      <c r="B79" s="396"/>
      <c r="C79" s="396" t="s">
        <v>181</v>
      </c>
      <c r="D79" s="394"/>
      <c r="E79" s="397"/>
      <c r="F79" s="246">
        <f>'Qtr 1 Budget'!H79</f>
        <v>0</v>
      </c>
      <c r="G79" s="392"/>
      <c r="H79" s="247">
        <f t="shared" si="21"/>
        <v>0</v>
      </c>
      <c r="I79" s="393"/>
      <c r="J79" s="246">
        <f>'Qtr 1 Budget'!L79</f>
        <v>0</v>
      </c>
      <c r="K79" s="392"/>
      <c r="L79" s="247">
        <f t="shared" si="46"/>
        <v>0</v>
      </c>
      <c r="M79" s="393"/>
      <c r="N79" s="246">
        <f t="shared" si="47"/>
        <v>0</v>
      </c>
      <c r="O79" s="247">
        <f t="shared" si="48"/>
        <v>0</v>
      </c>
      <c r="P79" s="247">
        <f t="shared" si="49"/>
        <v>0</v>
      </c>
      <c r="Q79" s="240">
        <f t="shared" si="50"/>
        <v>0</v>
      </c>
      <c r="R79" s="251">
        <f t="shared" si="53"/>
        <v>0</v>
      </c>
      <c r="S79" s="251" t="str">
        <f t="shared" si="54"/>
        <v/>
      </c>
      <c r="T79" s="407"/>
    </row>
    <row r="80" spans="1:20">
      <c r="A80" s="256">
        <f t="shared" si="55"/>
        <v>70</v>
      </c>
      <c r="B80" s="257" t="s">
        <v>69</v>
      </c>
      <c r="C80" s="257"/>
      <c r="D80" s="258"/>
      <c r="E80" s="259"/>
      <c r="F80" s="260">
        <f>SUM(F43:F79)</f>
        <v>0</v>
      </c>
      <c r="G80" s="261">
        <f t="shared" ref="G80:Q80" si="56">SUM(G43:G79)</f>
        <v>0</v>
      </c>
      <c r="H80" s="261">
        <f t="shared" si="56"/>
        <v>0</v>
      </c>
      <c r="I80" s="262">
        <f t="shared" si="56"/>
        <v>0</v>
      </c>
      <c r="J80" s="260">
        <f t="shared" si="56"/>
        <v>1599240.5692641316</v>
      </c>
      <c r="K80" s="261">
        <f t="shared" si="56"/>
        <v>0</v>
      </c>
      <c r="L80" s="261">
        <f t="shared" si="56"/>
        <v>1599240.5692641316</v>
      </c>
      <c r="M80" s="262">
        <f t="shared" si="56"/>
        <v>0</v>
      </c>
      <c r="N80" s="260">
        <f t="shared" si="56"/>
        <v>1599240.5692641316</v>
      </c>
      <c r="O80" s="261">
        <f t="shared" si="56"/>
        <v>0</v>
      </c>
      <c r="P80" s="261">
        <f t="shared" si="56"/>
        <v>1599240.5692641316</v>
      </c>
      <c r="Q80" s="262">
        <f t="shared" si="56"/>
        <v>0</v>
      </c>
      <c r="R80" s="263">
        <f t="shared" si="53"/>
        <v>0.32502151327218587</v>
      </c>
      <c r="S80" s="263">
        <f>IFERROR(Q80/P80,"")</f>
        <v>0</v>
      </c>
      <c r="T80" s="408"/>
    </row>
    <row r="81" spans="1:20" ht="18" customHeight="1">
      <c r="A81" s="243">
        <f t="shared" si="55"/>
        <v>71</v>
      </c>
      <c r="B81" s="244"/>
      <c r="C81" s="244"/>
      <c r="D81" s="231"/>
      <c r="E81" s="266"/>
      <c r="F81" s="249"/>
      <c r="G81" s="250"/>
      <c r="H81" s="250"/>
      <c r="I81" s="240"/>
      <c r="J81" s="249"/>
      <c r="K81" s="250"/>
      <c r="L81" s="250"/>
      <c r="M81" s="240"/>
      <c r="N81" s="249"/>
      <c r="O81" s="250"/>
      <c r="P81" s="250"/>
      <c r="Q81" s="240"/>
      <c r="R81" s="251"/>
      <c r="S81" s="251"/>
      <c r="T81" s="414"/>
    </row>
    <row r="82" spans="1:20">
      <c r="A82" s="256">
        <f t="shared" si="55"/>
        <v>72</v>
      </c>
      <c r="B82" s="257" t="s">
        <v>192</v>
      </c>
      <c r="C82" s="257"/>
      <c r="D82" s="258"/>
      <c r="E82" s="266"/>
      <c r="F82" s="249"/>
      <c r="G82" s="250"/>
      <c r="H82" s="250"/>
      <c r="I82" s="240"/>
      <c r="J82" s="249"/>
      <c r="K82" s="250"/>
      <c r="L82" s="250"/>
      <c r="M82" s="240"/>
      <c r="N82" s="249"/>
      <c r="O82" s="250"/>
      <c r="P82" s="250"/>
      <c r="Q82" s="240"/>
      <c r="R82" s="251"/>
      <c r="S82" s="251"/>
      <c r="T82" s="414"/>
    </row>
    <row r="83" spans="1:20" ht="18" customHeight="1">
      <c r="A83" s="243">
        <f t="shared" si="55"/>
        <v>73</v>
      </c>
      <c r="B83" s="396"/>
      <c r="C83" s="396"/>
      <c r="D83" s="394"/>
      <c r="E83" s="395"/>
      <c r="F83" s="246">
        <f>'Qtr 1 Budget'!H83</f>
        <v>0</v>
      </c>
      <c r="G83" s="392"/>
      <c r="H83" s="247">
        <f t="shared" ref="H83:H84" si="57">SUM(F83:G83)</f>
        <v>0</v>
      </c>
      <c r="I83" s="393"/>
      <c r="J83" s="246">
        <f>'Qtr 1 Budget'!L83</f>
        <v>0</v>
      </c>
      <c r="K83" s="392"/>
      <c r="L83" s="247">
        <f t="shared" ref="L83:L84" si="58">SUM(J83:K83)</f>
        <v>0</v>
      </c>
      <c r="M83" s="393"/>
      <c r="N83" s="246">
        <f t="shared" ref="N83:N84" si="59">F83+J83</f>
        <v>0</v>
      </c>
      <c r="O83" s="247">
        <f t="shared" ref="O83:O84" si="60">K83+G83</f>
        <v>0</v>
      </c>
      <c r="P83" s="247">
        <f t="shared" ref="P83:P84" si="61">SUM(N83:O83)</f>
        <v>0</v>
      </c>
      <c r="Q83" s="240">
        <f t="shared" ref="Q83:Q84" si="62">M83+I83</f>
        <v>0</v>
      </c>
      <c r="R83" s="251">
        <f t="shared" ref="R83:R85" si="63">P83/$P$85</f>
        <v>0</v>
      </c>
      <c r="S83" s="251" t="str">
        <f t="shared" ref="S83:S85" si="64">IFERROR(Q83/P83,"")</f>
        <v/>
      </c>
      <c r="T83" s="407"/>
    </row>
    <row r="84" spans="1:20">
      <c r="A84" s="243">
        <f t="shared" si="55"/>
        <v>74</v>
      </c>
      <c r="B84" s="396"/>
      <c r="C84" s="396"/>
      <c r="D84" s="394"/>
      <c r="E84" s="397"/>
      <c r="F84" s="246">
        <f>'Qtr 1 Budget'!H84</f>
        <v>0</v>
      </c>
      <c r="G84" s="392"/>
      <c r="H84" s="247">
        <f t="shared" si="57"/>
        <v>0</v>
      </c>
      <c r="I84" s="393"/>
      <c r="J84" s="246">
        <f>'Qtr 1 Budget'!L84</f>
        <v>0</v>
      </c>
      <c r="K84" s="392"/>
      <c r="L84" s="247">
        <f t="shared" si="58"/>
        <v>0</v>
      </c>
      <c r="M84" s="393"/>
      <c r="N84" s="246">
        <f t="shared" si="59"/>
        <v>0</v>
      </c>
      <c r="O84" s="247">
        <f t="shared" si="60"/>
        <v>0</v>
      </c>
      <c r="P84" s="247">
        <f t="shared" si="61"/>
        <v>0</v>
      </c>
      <c r="Q84" s="240">
        <f t="shared" si="62"/>
        <v>0</v>
      </c>
      <c r="R84" s="251">
        <f t="shared" si="63"/>
        <v>0</v>
      </c>
      <c r="S84" s="251" t="str">
        <f t="shared" si="64"/>
        <v/>
      </c>
      <c r="T84" s="407"/>
    </row>
    <row r="85" spans="1:20" ht="16" thickBot="1">
      <c r="A85" s="219">
        <f t="shared" si="55"/>
        <v>75</v>
      </c>
      <c r="B85" s="189" t="s">
        <v>74</v>
      </c>
      <c r="C85" s="189"/>
      <c r="D85" s="190"/>
      <c r="E85" s="191"/>
      <c r="F85" s="222">
        <f t="shared" ref="F85:Q85" si="65">F22+F39+F80+F83+F84</f>
        <v>3298784.2326921532</v>
      </c>
      <c r="G85" s="225">
        <f t="shared" si="65"/>
        <v>0</v>
      </c>
      <c r="H85" s="225">
        <f t="shared" si="65"/>
        <v>3298784.2326921532</v>
      </c>
      <c r="I85" s="193">
        <f t="shared" si="65"/>
        <v>0</v>
      </c>
      <c r="J85" s="222">
        <f t="shared" si="65"/>
        <v>1621630.2751464846</v>
      </c>
      <c r="K85" s="225">
        <f t="shared" si="65"/>
        <v>0</v>
      </c>
      <c r="L85" s="225">
        <f t="shared" si="65"/>
        <v>1621630.2751464846</v>
      </c>
      <c r="M85" s="193">
        <f t="shared" si="65"/>
        <v>0</v>
      </c>
      <c r="N85" s="222">
        <f t="shared" si="65"/>
        <v>4920414.5078386376</v>
      </c>
      <c r="O85" s="225">
        <f t="shared" si="65"/>
        <v>0</v>
      </c>
      <c r="P85" s="225">
        <f t="shared" si="65"/>
        <v>4920414.5078386376</v>
      </c>
      <c r="Q85" s="193">
        <f t="shared" si="65"/>
        <v>0</v>
      </c>
      <c r="R85" s="194">
        <f t="shared" si="63"/>
        <v>1</v>
      </c>
      <c r="S85" s="194">
        <f t="shared" si="64"/>
        <v>0</v>
      </c>
      <c r="T85" s="415"/>
    </row>
    <row r="86" spans="1:20" ht="17.25" customHeight="1" thickTop="1">
      <c r="A86" s="227">
        <f t="shared" si="55"/>
        <v>76</v>
      </c>
      <c r="B86" s="911" t="s">
        <v>92</v>
      </c>
      <c r="C86" s="911"/>
      <c r="D86" s="912"/>
      <c r="E86" s="228"/>
      <c r="F86" s="276"/>
      <c r="G86" s="277"/>
      <c r="H86" s="277"/>
      <c r="I86" s="278"/>
      <c r="J86" s="276"/>
      <c r="K86" s="277"/>
      <c r="L86" s="277"/>
      <c r="M86" s="279"/>
      <c r="N86" s="276"/>
      <c r="O86" s="277"/>
      <c r="P86" s="277"/>
      <c r="Q86" s="280"/>
      <c r="R86" s="281"/>
      <c r="S86" s="281"/>
      <c r="T86" s="416"/>
    </row>
    <row r="87" spans="1:20" ht="22.5" customHeight="1">
      <c r="A87" s="234">
        <f t="shared" si="55"/>
        <v>77</v>
      </c>
      <c r="B87" s="235"/>
      <c r="C87" s="235"/>
      <c r="D87" s="236" t="s">
        <v>75</v>
      </c>
      <c r="E87" s="282"/>
      <c r="F87" s="283"/>
      <c r="G87" s="284"/>
      <c r="H87" s="284"/>
      <c r="I87" s="236"/>
      <c r="J87" s="283"/>
      <c r="K87" s="284"/>
      <c r="L87" s="284"/>
      <c r="M87" s="285"/>
      <c r="N87" s="283"/>
      <c r="O87" s="284"/>
      <c r="P87" s="284"/>
      <c r="Q87" s="286"/>
      <c r="R87" s="251"/>
      <c r="S87" s="251"/>
      <c r="T87" s="414"/>
    </row>
    <row r="88" spans="1:20" ht="17.25" customHeight="1">
      <c r="A88" s="243">
        <f t="shared" si="55"/>
        <v>78</v>
      </c>
      <c r="B88" s="287"/>
      <c r="C88" s="288" t="s">
        <v>30</v>
      </c>
      <c r="D88" s="231"/>
      <c r="E88" s="282"/>
      <c r="F88" s="283"/>
      <c r="G88" s="284"/>
      <c r="H88" s="284"/>
      <c r="I88" s="236"/>
      <c r="J88" s="283"/>
      <c r="K88" s="284"/>
      <c r="L88" s="284"/>
      <c r="M88" s="285"/>
      <c r="N88" s="283"/>
      <c r="O88" s="284"/>
      <c r="P88" s="284"/>
      <c r="Q88" s="289"/>
      <c r="R88" s="251"/>
      <c r="S88" s="251"/>
      <c r="T88" s="414"/>
    </row>
    <row r="89" spans="1:20" ht="15" customHeight="1">
      <c r="A89" s="243">
        <f t="shared" si="55"/>
        <v>79</v>
      </c>
      <c r="B89" s="287"/>
      <c r="C89" s="288"/>
      <c r="D89" s="231" t="s">
        <v>27</v>
      </c>
      <c r="E89" s="245">
        <v>111</v>
      </c>
      <c r="F89" s="290">
        <f>'Qtr 1 Budget'!H89</f>
        <v>90125.041200000007</v>
      </c>
      <c r="G89" s="398"/>
      <c r="H89" s="291">
        <f t="shared" ref="H89:H96" si="66">SUM(F89:G89)</f>
        <v>90125.041200000007</v>
      </c>
      <c r="I89" s="393"/>
      <c r="J89" s="290">
        <f>'Qtr 1 Budget'!L89</f>
        <v>0</v>
      </c>
      <c r="K89" s="398"/>
      <c r="L89" s="291">
        <f t="shared" ref="L89:L96" si="67">SUM(J89:K89)</f>
        <v>0</v>
      </c>
      <c r="M89" s="399"/>
      <c r="N89" s="290">
        <f t="shared" ref="N89:N96" si="68">F89+J89</f>
        <v>90125.041200000007</v>
      </c>
      <c r="O89" s="291">
        <f t="shared" ref="O89:O96" si="69">K89+G89</f>
        <v>0</v>
      </c>
      <c r="P89" s="291">
        <f t="shared" ref="P89:P96" si="70">SUM(N89:O89)</f>
        <v>90125.041200000007</v>
      </c>
      <c r="Q89" s="289">
        <f t="shared" ref="Q89:Q96" si="71">M89+I89</f>
        <v>0</v>
      </c>
      <c r="R89" s="251">
        <f>P89/$P$156</f>
        <v>1.8323080893509529E-2</v>
      </c>
      <c r="S89" s="251">
        <f t="shared" ref="S89:S97" si="72">IFERROR(Q89/P89,"")</f>
        <v>0</v>
      </c>
      <c r="T89" s="407"/>
    </row>
    <row r="90" spans="1:20" ht="15" customHeight="1">
      <c r="A90" s="243">
        <f t="shared" si="55"/>
        <v>80</v>
      </c>
      <c r="B90" s="287"/>
      <c r="C90" s="288"/>
      <c r="D90" s="231" t="s">
        <v>28</v>
      </c>
      <c r="E90" s="245">
        <v>111</v>
      </c>
      <c r="F90" s="290">
        <f>'Qtr 1 Budget'!H90</f>
        <v>0</v>
      </c>
      <c r="G90" s="398"/>
      <c r="H90" s="291">
        <f t="shared" si="66"/>
        <v>0</v>
      </c>
      <c r="I90" s="393"/>
      <c r="J90" s="290">
        <f>'Qtr 1 Budget'!L90</f>
        <v>0</v>
      </c>
      <c r="K90" s="398"/>
      <c r="L90" s="291">
        <f t="shared" si="67"/>
        <v>0</v>
      </c>
      <c r="M90" s="399"/>
      <c r="N90" s="290">
        <f t="shared" si="68"/>
        <v>0</v>
      </c>
      <c r="O90" s="291">
        <f t="shared" si="69"/>
        <v>0</v>
      </c>
      <c r="P90" s="291">
        <f t="shared" si="70"/>
        <v>0</v>
      </c>
      <c r="Q90" s="289">
        <f t="shared" si="71"/>
        <v>0</v>
      </c>
      <c r="R90" s="251">
        <f t="shared" ref="R90:R97" si="73">P90/$P$156</f>
        <v>0</v>
      </c>
      <c r="S90" s="251" t="str">
        <f t="shared" si="72"/>
        <v/>
      </c>
      <c r="T90" s="407"/>
    </row>
    <row r="91" spans="1:20" ht="15" customHeight="1">
      <c r="A91" s="243">
        <f t="shared" si="55"/>
        <v>81</v>
      </c>
      <c r="B91" s="287"/>
      <c r="C91" s="288"/>
      <c r="D91" s="231" t="s">
        <v>196</v>
      </c>
      <c r="E91" s="245">
        <v>111</v>
      </c>
      <c r="F91" s="290">
        <f>'Qtr 1 Budget'!H91</f>
        <v>385310.34529999999</v>
      </c>
      <c r="G91" s="398"/>
      <c r="H91" s="291">
        <f t="shared" si="66"/>
        <v>385310.34529999999</v>
      </c>
      <c r="I91" s="393"/>
      <c r="J91" s="290">
        <f>'Qtr 1 Budget'!L91</f>
        <v>279400</v>
      </c>
      <c r="K91" s="398"/>
      <c r="L91" s="291">
        <f t="shared" si="67"/>
        <v>279400</v>
      </c>
      <c r="M91" s="399"/>
      <c r="N91" s="290">
        <f t="shared" si="68"/>
        <v>664710.34529999993</v>
      </c>
      <c r="O91" s="291">
        <f t="shared" si="69"/>
        <v>0</v>
      </c>
      <c r="P91" s="291">
        <f t="shared" si="70"/>
        <v>664710.34529999993</v>
      </c>
      <c r="Q91" s="289">
        <f t="shared" si="71"/>
        <v>0</v>
      </c>
      <c r="R91" s="251">
        <f t="shared" si="73"/>
        <v>0.13514048110842417</v>
      </c>
      <c r="S91" s="251">
        <f t="shared" si="72"/>
        <v>0</v>
      </c>
      <c r="T91" s="407"/>
    </row>
    <row r="92" spans="1:20" ht="15" customHeight="1">
      <c r="A92" s="243">
        <f t="shared" si="55"/>
        <v>82</v>
      </c>
      <c r="B92" s="287"/>
      <c r="C92" s="244" t="s">
        <v>5</v>
      </c>
      <c r="D92" s="231"/>
      <c r="E92" s="245">
        <v>112</v>
      </c>
      <c r="F92" s="290">
        <f>'Qtr 1 Budget'!H92</f>
        <v>187848</v>
      </c>
      <c r="G92" s="398"/>
      <c r="H92" s="291">
        <f t="shared" si="66"/>
        <v>187848</v>
      </c>
      <c r="I92" s="393"/>
      <c r="J92" s="290">
        <f>'Qtr 1 Budget'!L92</f>
        <v>1000000</v>
      </c>
      <c r="K92" s="398"/>
      <c r="L92" s="291">
        <f t="shared" si="67"/>
        <v>1000000</v>
      </c>
      <c r="M92" s="399"/>
      <c r="N92" s="290">
        <f t="shared" si="68"/>
        <v>1187848</v>
      </c>
      <c r="O92" s="291">
        <f t="shared" si="69"/>
        <v>0</v>
      </c>
      <c r="P92" s="291">
        <f t="shared" si="70"/>
        <v>1187848</v>
      </c>
      <c r="Q92" s="289">
        <f t="shared" si="71"/>
        <v>0</v>
      </c>
      <c r="R92" s="251">
        <f t="shared" si="73"/>
        <v>0.24149819743098774</v>
      </c>
      <c r="S92" s="251">
        <f t="shared" si="72"/>
        <v>0</v>
      </c>
      <c r="T92" s="407"/>
    </row>
    <row r="93" spans="1:20" ht="15" customHeight="1">
      <c r="A93" s="243">
        <f t="shared" si="55"/>
        <v>83</v>
      </c>
      <c r="B93" s="244"/>
      <c r="C93" s="244" t="s">
        <v>29</v>
      </c>
      <c r="D93" s="231"/>
      <c r="E93" s="245">
        <v>113</v>
      </c>
      <c r="F93" s="290">
        <f>'Qtr 1 Budget'!H93</f>
        <v>0</v>
      </c>
      <c r="G93" s="398"/>
      <c r="H93" s="291">
        <f t="shared" si="66"/>
        <v>0</v>
      </c>
      <c r="I93" s="393"/>
      <c r="J93" s="290">
        <f>'Qtr 1 Budget'!L93</f>
        <v>57936</v>
      </c>
      <c r="K93" s="398"/>
      <c r="L93" s="291">
        <f t="shared" si="67"/>
        <v>57936</v>
      </c>
      <c r="M93" s="399"/>
      <c r="N93" s="290">
        <f t="shared" si="68"/>
        <v>57936</v>
      </c>
      <c r="O93" s="291">
        <f t="shared" si="69"/>
        <v>0</v>
      </c>
      <c r="P93" s="291">
        <f t="shared" si="70"/>
        <v>57936</v>
      </c>
      <c r="Q93" s="289">
        <f t="shared" si="71"/>
        <v>0</v>
      </c>
      <c r="R93" s="251">
        <f t="shared" si="73"/>
        <v>1.177881308581713E-2</v>
      </c>
      <c r="S93" s="251">
        <f t="shared" si="72"/>
        <v>0</v>
      </c>
      <c r="T93" s="407"/>
    </row>
    <row r="94" spans="1:20" ht="15" customHeight="1">
      <c r="A94" s="243">
        <f t="shared" si="55"/>
        <v>84</v>
      </c>
      <c r="B94" s="244"/>
      <c r="C94" s="244" t="s">
        <v>31</v>
      </c>
      <c r="D94" s="231"/>
      <c r="E94" s="245">
        <v>114</v>
      </c>
      <c r="F94" s="290">
        <f>'Qtr 1 Budget'!H94</f>
        <v>81800</v>
      </c>
      <c r="G94" s="398"/>
      <c r="H94" s="291">
        <f t="shared" si="66"/>
        <v>81800</v>
      </c>
      <c r="I94" s="393"/>
      <c r="J94" s="290">
        <f>'Qtr 1 Budget'!L94</f>
        <v>0</v>
      </c>
      <c r="K94" s="398"/>
      <c r="L94" s="291">
        <f t="shared" si="67"/>
        <v>0</v>
      </c>
      <c r="M94" s="399"/>
      <c r="N94" s="290">
        <f t="shared" si="68"/>
        <v>81800</v>
      </c>
      <c r="O94" s="291">
        <f t="shared" si="69"/>
        <v>0</v>
      </c>
      <c r="P94" s="291">
        <f t="shared" si="70"/>
        <v>81800</v>
      </c>
      <c r="Q94" s="289">
        <f t="shared" si="71"/>
        <v>0</v>
      </c>
      <c r="R94" s="251">
        <f t="shared" si="73"/>
        <v>1.6630539050328661E-2</v>
      </c>
      <c r="S94" s="251">
        <f t="shared" si="72"/>
        <v>0</v>
      </c>
      <c r="T94" s="407"/>
    </row>
    <row r="95" spans="1:20" ht="15" customHeight="1">
      <c r="A95" s="243">
        <f t="shared" si="55"/>
        <v>85</v>
      </c>
      <c r="B95" s="244"/>
      <c r="C95" s="244" t="s">
        <v>34</v>
      </c>
      <c r="D95" s="231"/>
      <c r="E95" s="245">
        <v>116</v>
      </c>
      <c r="F95" s="290">
        <f>'Qtr 1 Budget'!H95</f>
        <v>118300</v>
      </c>
      <c r="G95" s="398"/>
      <c r="H95" s="291">
        <f t="shared" si="66"/>
        <v>118300</v>
      </c>
      <c r="I95" s="393"/>
      <c r="J95" s="290">
        <f>'Qtr 1 Budget'!L95</f>
        <v>0</v>
      </c>
      <c r="K95" s="398"/>
      <c r="L95" s="291">
        <f t="shared" si="67"/>
        <v>0</v>
      </c>
      <c r="M95" s="399"/>
      <c r="N95" s="290">
        <f t="shared" si="68"/>
        <v>118300</v>
      </c>
      <c r="O95" s="291">
        <f t="shared" si="69"/>
        <v>0</v>
      </c>
      <c r="P95" s="291">
        <f t="shared" si="70"/>
        <v>118300</v>
      </c>
      <c r="Q95" s="289">
        <f t="shared" si="71"/>
        <v>0</v>
      </c>
      <c r="R95" s="251">
        <f t="shared" si="73"/>
        <v>2.4051256352736926E-2</v>
      </c>
      <c r="S95" s="251">
        <f t="shared" si="72"/>
        <v>0</v>
      </c>
      <c r="T95" s="407"/>
    </row>
    <row r="96" spans="1:20" ht="15" customHeight="1">
      <c r="A96" s="243">
        <f t="shared" si="55"/>
        <v>86</v>
      </c>
      <c r="B96" s="244"/>
      <c r="C96" s="288" t="s">
        <v>197</v>
      </c>
      <c r="D96" s="231"/>
      <c r="E96" s="245" t="s">
        <v>95</v>
      </c>
      <c r="F96" s="290">
        <f>'Qtr 1 Budget'!H96</f>
        <v>134536</v>
      </c>
      <c r="G96" s="398"/>
      <c r="H96" s="291">
        <f t="shared" si="66"/>
        <v>134536</v>
      </c>
      <c r="I96" s="393"/>
      <c r="J96" s="290">
        <f>'Qtr 1 Budget'!L96</f>
        <v>0</v>
      </c>
      <c r="K96" s="398"/>
      <c r="L96" s="291">
        <f t="shared" si="67"/>
        <v>0</v>
      </c>
      <c r="M96" s="399"/>
      <c r="N96" s="290">
        <f t="shared" si="68"/>
        <v>134536</v>
      </c>
      <c r="O96" s="291">
        <f t="shared" si="69"/>
        <v>0</v>
      </c>
      <c r="P96" s="291">
        <f t="shared" si="70"/>
        <v>134536</v>
      </c>
      <c r="Q96" s="289">
        <f t="shared" si="71"/>
        <v>0</v>
      </c>
      <c r="R96" s="251">
        <f t="shared" si="73"/>
        <v>2.7352154054706805E-2</v>
      </c>
      <c r="S96" s="251">
        <f t="shared" si="72"/>
        <v>0</v>
      </c>
      <c r="T96" s="407"/>
    </row>
    <row r="97" spans="1:20" ht="15" customHeight="1">
      <c r="A97" s="256">
        <f t="shared" si="55"/>
        <v>87</v>
      </c>
      <c r="B97" s="257"/>
      <c r="C97" s="257"/>
      <c r="D97" s="292" t="s">
        <v>76</v>
      </c>
      <c r="E97" s="293" t="s">
        <v>6</v>
      </c>
      <c r="F97" s="294">
        <f>SUM(F89:F96)</f>
        <v>997919.38650000002</v>
      </c>
      <c r="G97" s="295">
        <f t="shared" ref="G97:Q97" si="74">SUM(G89:G96)</f>
        <v>0</v>
      </c>
      <c r="H97" s="295">
        <f t="shared" si="74"/>
        <v>997919.38650000002</v>
      </c>
      <c r="I97" s="296">
        <f t="shared" si="74"/>
        <v>0</v>
      </c>
      <c r="J97" s="294">
        <f t="shared" si="74"/>
        <v>1337336</v>
      </c>
      <c r="K97" s="295">
        <f t="shared" si="74"/>
        <v>0</v>
      </c>
      <c r="L97" s="295">
        <f t="shared" si="74"/>
        <v>1337336</v>
      </c>
      <c r="M97" s="296">
        <f t="shared" si="74"/>
        <v>0</v>
      </c>
      <c r="N97" s="294">
        <f t="shared" si="74"/>
        <v>2335255.3865</v>
      </c>
      <c r="O97" s="295">
        <f t="shared" si="74"/>
        <v>0</v>
      </c>
      <c r="P97" s="295">
        <f t="shared" si="74"/>
        <v>2335255.3865</v>
      </c>
      <c r="Q97" s="297">
        <f t="shared" si="74"/>
        <v>0</v>
      </c>
      <c r="R97" s="263">
        <f t="shared" si="73"/>
        <v>0.47477452197651099</v>
      </c>
      <c r="S97" s="263">
        <f t="shared" si="72"/>
        <v>0</v>
      </c>
      <c r="T97" s="408"/>
    </row>
    <row r="98" spans="1:20" ht="17.25" customHeight="1">
      <c r="A98" s="234">
        <f t="shared" si="55"/>
        <v>88</v>
      </c>
      <c r="B98" s="235" t="s">
        <v>77</v>
      </c>
      <c r="C98" s="298"/>
      <c r="D98" s="236"/>
      <c r="E98" s="237"/>
      <c r="F98" s="299"/>
      <c r="G98" s="300"/>
      <c r="H98" s="300"/>
      <c r="I98" s="240"/>
      <c r="J98" s="299"/>
      <c r="K98" s="300"/>
      <c r="L98" s="300"/>
      <c r="M98" s="301"/>
      <c r="N98" s="299"/>
      <c r="O98" s="300"/>
      <c r="P98" s="300"/>
      <c r="Q98" s="289"/>
      <c r="R98" s="251"/>
      <c r="S98" s="251"/>
      <c r="T98" s="414"/>
    </row>
    <row r="99" spans="1:20" ht="17.25" customHeight="1">
      <c r="A99" s="243">
        <f t="shared" si="55"/>
        <v>89</v>
      </c>
      <c r="B99" s="244"/>
      <c r="C99" s="244" t="s">
        <v>32</v>
      </c>
      <c r="D99" s="231"/>
      <c r="E99" s="245">
        <v>210</v>
      </c>
      <c r="F99" s="290">
        <f>'Qtr 1 Budget'!H99</f>
        <v>221685.09375</v>
      </c>
      <c r="G99" s="398"/>
      <c r="H99" s="291">
        <f t="shared" ref="H99:H105" si="75">SUM(F99:G99)</f>
        <v>221685.09375</v>
      </c>
      <c r="I99" s="393"/>
      <c r="J99" s="290">
        <f>'Qtr 1 Budget'!L99</f>
        <v>0</v>
      </c>
      <c r="K99" s="398"/>
      <c r="L99" s="291">
        <f t="shared" ref="L99:L105" si="76">SUM(J99:K99)</f>
        <v>0</v>
      </c>
      <c r="M99" s="399"/>
      <c r="N99" s="290">
        <f t="shared" ref="N99:N105" si="77">F99+J99</f>
        <v>221685.09375</v>
      </c>
      <c r="O99" s="291">
        <f t="shared" ref="O99:O105" si="78">K99+G99</f>
        <v>0</v>
      </c>
      <c r="P99" s="291">
        <f t="shared" ref="P99:P105" si="79">SUM(N99:O99)</f>
        <v>221685.09375</v>
      </c>
      <c r="Q99" s="289">
        <f t="shared" ref="Q99:Q105" si="80">M99+I99</f>
        <v>0</v>
      </c>
      <c r="R99" s="251">
        <f t="shared" ref="R99:R106" si="81">P99/$P$156</f>
        <v>4.5070203037715709E-2</v>
      </c>
      <c r="S99" s="251">
        <f t="shared" ref="S99:S106" si="82">IFERROR(Q99/P99,"")</f>
        <v>0</v>
      </c>
      <c r="T99" s="407"/>
    </row>
    <row r="100" spans="1:20" ht="15" customHeight="1">
      <c r="A100" s="243">
        <f t="shared" si="55"/>
        <v>90</v>
      </c>
      <c r="B100" s="244"/>
      <c r="C100" s="244" t="s">
        <v>7</v>
      </c>
      <c r="D100" s="231"/>
      <c r="E100" s="245">
        <v>220</v>
      </c>
      <c r="F100" s="290">
        <f>'Qtr 1 Budget'!H100</f>
        <v>144785.83396300001</v>
      </c>
      <c r="G100" s="398"/>
      <c r="H100" s="291">
        <f t="shared" si="75"/>
        <v>144785.83396300001</v>
      </c>
      <c r="I100" s="393"/>
      <c r="J100" s="290">
        <f>'Qtr 1 Budget'!L100</f>
        <v>0</v>
      </c>
      <c r="K100" s="398"/>
      <c r="L100" s="291">
        <f t="shared" si="76"/>
        <v>0</v>
      </c>
      <c r="M100" s="399"/>
      <c r="N100" s="290">
        <f t="shared" si="77"/>
        <v>144785.83396300001</v>
      </c>
      <c r="O100" s="291">
        <f t="shared" si="78"/>
        <v>0</v>
      </c>
      <c r="P100" s="291">
        <f t="shared" si="79"/>
        <v>144785.83396300001</v>
      </c>
      <c r="Q100" s="289">
        <f t="shared" si="80"/>
        <v>0</v>
      </c>
      <c r="R100" s="251">
        <f t="shared" si="81"/>
        <v>2.9436020362543683E-2</v>
      </c>
      <c r="S100" s="251">
        <f t="shared" si="82"/>
        <v>0</v>
      </c>
      <c r="T100" s="407"/>
    </row>
    <row r="101" spans="1:20" ht="15" customHeight="1">
      <c r="A101" s="243">
        <f t="shared" si="55"/>
        <v>91</v>
      </c>
      <c r="B101" s="244"/>
      <c r="C101" s="244" t="s">
        <v>23</v>
      </c>
      <c r="D101" s="231"/>
      <c r="E101" s="245">
        <v>225</v>
      </c>
      <c r="F101" s="290">
        <f>'Qtr 1 Budget'!H101</f>
        <v>33861.203104249995</v>
      </c>
      <c r="G101" s="398"/>
      <c r="H101" s="291">
        <f t="shared" si="75"/>
        <v>33861.203104249995</v>
      </c>
      <c r="I101" s="393"/>
      <c r="J101" s="290">
        <f>'Qtr 1 Budget'!L101</f>
        <v>0</v>
      </c>
      <c r="K101" s="398"/>
      <c r="L101" s="291">
        <f t="shared" si="76"/>
        <v>0</v>
      </c>
      <c r="M101" s="399"/>
      <c r="N101" s="290">
        <f t="shared" si="77"/>
        <v>33861.203104249995</v>
      </c>
      <c r="O101" s="291">
        <f t="shared" si="78"/>
        <v>0</v>
      </c>
      <c r="P101" s="291">
        <f t="shared" si="79"/>
        <v>33861.203104249995</v>
      </c>
      <c r="Q101" s="289">
        <f t="shared" si="80"/>
        <v>0</v>
      </c>
      <c r="R101" s="251">
        <f t="shared" si="81"/>
        <v>6.8842305686594085E-3</v>
      </c>
      <c r="S101" s="251">
        <f t="shared" si="82"/>
        <v>0</v>
      </c>
      <c r="T101" s="407"/>
    </row>
    <row r="102" spans="1:20" ht="15" customHeight="1">
      <c r="A102" s="243">
        <f t="shared" si="55"/>
        <v>92</v>
      </c>
      <c r="B102" s="244"/>
      <c r="C102" s="244" t="s">
        <v>8</v>
      </c>
      <c r="D102" s="231"/>
      <c r="E102" s="245" t="s">
        <v>116</v>
      </c>
      <c r="F102" s="290">
        <f>'Qtr 1 Budget'!H102</f>
        <v>46705.107730000003</v>
      </c>
      <c r="G102" s="398"/>
      <c r="H102" s="291">
        <f t="shared" si="75"/>
        <v>46705.107730000003</v>
      </c>
      <c r="I102" s="393"/>
      <c r="J102" s="290">
        <f>'Qtr 1 Budget'!L102</f>
        <v>0</v>
      </c>
      <c r="K102" s="398"/>
      <c r="L102" s="291">
        <f t="shared" si="76"/>
        <v>0</v>
      </c>
      <c r="M102" s="399"/>
      <c r="N102" s="290">
        <f t="shared" si="77"/>
        <v>46705.107730000003</v>
      </c>
      <c r="O102" s="291">
        <f t="shared" si="78"/>
        <v>0</v>
      </c>
      <c r="P102" s="291">
        <f t="shared" si="79"/>
        <v>46705.107730000003</v>
      </c>
      <c r="Q102" s="289">
        <f t="shared" si="80"/>
        <v>0</v>
      </c>
      <c r="R102" s="251">
        <f t="shared" si="81"/>
        <v>9.49549043953022E-3</v>
      </c>
      <c r="S102" s="251">
        <f t="shared" si="82"/>
        <v>0</v>
      </c>
      <c r="T102" s="407"/>
    </row>
    <row r="103" spans="1:20" ht="15" customHeight="1">
      <c r="A103" s="305">
        <f t="shared" si="55"/>
        <v>93</v>
      </c>
      <c r="B103" s="306"/>
      <c r="C103" s="306" t="s">
        <v>9</v>
      </c>
      <c r="D103" s="307"/>
      <c r="E103" s="308">
        <v>250</v>
      </c>
      <c r="F103" s="309">
        <f>'Qtr 1 Budget'!H103</f>
        <v>23352.553865000002</v>
      </c>
      <c r="G103" s="400"/>
      <c r="H103" s="310">
        <f t="shared" si="75"/>
        <v>23352.553865000002</v>
      </c>
      <c r="I103" s="401"/>
      <c r="J103" s="309">
        <f>'Qtr 1 Budget'!L103</f>
        <v>0</v>
      </c>
      <c r="K103" s="400"/>
      <c r="L103" s="310">
        <f t="shared" si="76"/>
        <v>0</v>
      </c>
      <c r="M103" s="402"/>
      <c r="N103" s="309">
        <f t="shared" si="77"/>
        <v>23352.553865000002</v>
      </c>
      <c r="O103" s="310">
        <f t="shared" si="78"/>
        <v>0</v>
      </c>
      <c r="P103" s="310">
        <f t="shared" si="79"/>
        <v>23352.553865000002</v>
      </c>
      <c r="Q103" s="311">
        <f t="shared" si="80"/>
        <v>0</v>
      </c>
      <c r="R103" s="312">
        <f t="shared" si="81"/>
        <v>4.74774521976511E-3</v>
      </c>
      <c r="S103" s="312">
        <f t="shared" si="82"/>
        <v>0</v>
      </c>
      <c r="T103" s="417"/>
    </row>
    <row r="104" spans="1:20" ht="15" customHeight="1">
      <c r="A104" s="243">
        <f t="shared" si="55"/>
        <v>94</v>
      </c>
      <c r="B104" s="244"/>
      <c r="C104" s="288" t="s">
        <v>33</v>
      </c>
      <c r="D104" s="231"/>
      <c r="E104" s="245">
        <v>270</v>
      </c>
      <c r="F104" s="290">
        <f>'Qtr 1 Budget'!H104</f>
        <v>0</v>
      </c>
      <c r="G104" s="398"/>
      <c r="H104" s="291">
        <f t="shared" si="75"/>
        <v>0</v>
      </c>
      <c r="I104" s="393"/>
      <c r="J104" s="290">
        <f>'Qtr 1 Budget'!L104</f>
        <v>0</v>
      </c>
      <c r="K104" s="398"/>
      <c r="L104" s="291">
        <f t="shared" si="76"/>
        <v>0</v>
      </c>
      <c r="M104" s="399"/>
      <c r="N104" s="290">
        <f t="shared" si="77"/>
        <v>0</v>
      </c>
      <c r="O104" s="291">
        <f t="shared" si="78"/>
        <v>0</v>
      </c>
      <c r="P104" s="291">
        <f t="shared" si="79"/>
        <v>0</v>
      </c>
      <c r="Q104" s="289">
        <f t="shared" si="80"/>
        <v>0</v>
      </c>
      <c r="R104" s="251">
        <f t="shared" si="81"/>
        <v>0</v>
      </c>
      <c r="S104" s="251" t="str">
        <f t="shared" si="82"/>
        <v/>
      </c>
      <c r="T104" s="407"/>
    </row>
    <row r="105" spans="1:20" ht="15" customHeight="1">
      <c r="A105" s="305">
        <f t="shared" si="55"/>
        <v>95</v>
      </c>
      <c r="B105" s="306"/>
      <c r="C105" s="313" t="s">
        <v>198</v>
      </c>
      <c r="D105" s="307"/>
      <c r="E105" s="308" t="s">
        <v>10</v>
      </c>
      <c r="F105" s="309">
        <f>'Qtr 1 Budget'!H105</f>
        <v>53928.553865000002</v>
      </c>
      <c r="G105" s="400"/>
      <c r="H105" s="310">
        <f t="shared" si="75"/>
        <v>53928.553865000002</v>
      </c>
      <c r="I105" s="401"/>
      <c r="J105" s="309">
        <f>'Qtr 1 Budget'!L105</f>
        <v>0</v>
      </c>
      <c r="K105" s="400"/>
      <c r="L105" s="310">
        <f t="shared" si="76"/>
        <v>0</v>
      </c>
      <c r="M105" s="402"/>
      <c r="N105" s="309">
        <f t="shared" si="77"/>
        <v>53928.553865000002</v>
      </c>
      <c r="O105" s="310">
        <f t="shared" si="78"/>
        <v>0</v>
      </c>
      <c r="P105" s="310">
        <f t="shared" si="79"/>
        <v>53928.553865000002</v>
      </c>
      <c r="Q105" s="311">
        <f t="shared" si="80"/>
        <v>0</v>
      </c>
      <c r="R105" s="312">
        <f t="shared" si="81"/>
        <v>1.0964069938626347E-2</v>
      </c>
      <c r="S105" s="312">
        <f t="shared" si="82"/>
        <v>0</v>
      </c>
      <c r="T105" s="417"/>
    </row>
    <row r="106" spans="1:20" ht="15" customHeight="1">
      <c r="A106" s="314">
        <f t="shared" si="55"/>
        <v>96</v>
      </c>
      <c r="B106" s="315"/>
      <c r="C106" s="315"/>
      <c r="D106" s="316" t="s">
        <v>78</v>
      </c>
      <c r="E106" s="317" t="s">
        <v>11</v>
      </c>
      <c r="F106" s="318">
        <f>SUM(F99:F105)</f>
        <v>524318.34627724998</v>
      </c>
      <c r="G106" s="319">
        <f t="shared" ref="G106:Q106" si="83">SUM(G99:G105)</f>
        <v>0</v>
      </c>
      <c r="H106" s="319">
        <f t="shared" si="83"/>
        <v>524318.34627724998</v>
      </c>
      <c r="I106" s="320">
        <f t="shared" si="83"/>
        <v>0</v>
      </c>
      <c r="J106" s="318">
        <f t="shared" si="83"/>
        <v>0</v>
      </c>
      <c r="K106" s="319">
        <f t="shared" si="83"/>
        <v>0</v>
      </c>
      <c r="L106" s="319">
        <f t="shared" si="83"/>
        <v>0</v>
      </c>
      <c r="M106" s="320">
        <f t="shared" si="83"/>
        <v>0</v>
      </c>
      <c r="N106" s="318">
        <f t="shared" si="83"/>
        <v>524318.34627724998</v>
      </c>
      <c r="O106" s="319">
        <f t="shared" si="83"/>
        <v>0</v>
      </c>
      <c r="P106" s="319">
        <f t="shared" si="83"/>
        <v>524318.34627724998</v>
      </c>
      <c r="Q106" s="321">
        <f t="shared" si="83"/>
        <v>0</v>
      </c>
      <c r="R106" s="322">
        <f t="shared" si="81"/>
        <v>0.10659775956684046</v>
      </c>
      <c r="S106" s="322">
        <f t="shared" si="82"/>
        <v>0</v>
      </c>
      <c r="T106" s="418"/>
    </row>
    <row r="107" spans="1:20" ht="17.25" customHeight="1">
      <c r="A107" s="323">
        <f t="shared" si="55"/>
        <v>97</v>
      </c>
      <c r="B107" s="324" t="s">
        <v>80</v>
      </c>
      <c r="C107" s="325"/>
      <c r="D107" s="326"/>
      <c r="E107" s="327"/>
      <c r="F107" s="328"/>
      <c r="G107" s="329"/>
      <c r="H107" s="329"/>
      <c r="I107" s="330"/>
      <c r="J107" s="328"/>
      <c r="K107" s="329"/>
      <c r="L107" s="329"/>
      <c r="M107" s="331"/>
      <c r="N107" s="328"/>
      <c r="O107" s="329"/>
      <c r="P107" s="329"/>
      <c r="Q107" s="311"/>
      <c r="R107" s="312"/>
      <c r="S107" s="312"/>
      <c r="T107" s="419"/>
    </row>
    <row r="108" spans="1:20" ht="17.25" customHeight="1">
      <c r="A108" s="305">
        <f t="shared" si="55"/>
        <v>98</v>
      </c>
      <c r="B108" s="306"/>
      <c r="C108" s="306" t="s">
        <v>12</v>
      </c>
      <c r="D108" s="307"/>
      <c r="E108" s="308">
        <v>332</v>
      </c>
      <c r="F108" s="309">
        <f>'Qtr 1 Budget'!H108</f>
        <v>12500</v>
      </c>
      <c r="G108" s="400"/>
      <c r="H108" s="310">
        <f t="shared" ref="H108:H111" si="84">SUM(F108:G108)</f>
        <v>12500</v>
      </c>
      <c r="I108" s="401"/>
      <c r="J108" s="309">
        <f>'Qtr 1 Budget'!L108</f>
        <v>0</v>
      </c>
      <c r="K108" s="400"/>
      <c r="L108" s="310">
        <f t="shared" ref="L108:L111" si="85">SUM(J108:K108)</f>
        <v>0</v>
      </c>
      <c r="M108" s="402"/>
      <c r="N108" s="309">
        <f t="shared" ref="N108:N111" si="86">F108+J108</f>
        <v>12500</v>
      </c>
      <c r="O108" s="310">
        <f t="shared" ref="O108:O111" si="87">K108+G108</f>
        <v>0</v>
      </c>
      <c r="P108" s="310">
        <f t="shared" ref="P108:P111" si="88">SUM(N108:O108)</f>
        <v>12500</v>
      </c>
      <c r="Q108" s="311">
        <f t="shared" ref="Q108:Q111" si="89">M108+I108</f>
        <v>0</v>
      </c>
      <c r="R108" s="312">
        <f t="shared" ref="R108:R112" si="90">P108/$P$156</f>
        <v>2.5413415419206389E-3</v>
      </c>
      <c r="S108" s="312">
        <f t="shared" ref="S108:S112" si="91">IFERROR(Q108/P108,"")</f>
        <v>0</v>
      </c>
      <c r="T108" s="417"/>
    </row>
    <row r="109" spans="1:20" ht="15" customHeight="1">
      <c r="A109" s="305">
        <f t="shared" si="55"/>
        <v>99</v>
      </c>
      <c r="B109" s="306"/>
      <c r="C109" s="306" t="s">
        <v>13</v>
      </c>
      <c r="D109" s="307"/>
      <c r="E109" s="308">
        <v>333</v>
      </c>
      <c r="F109" s="309">
        <f>'Qtr 1 Budget'!H109</f>
        <v>17199</v>
      </c>
      <c r="G109" s="400"/>
      <c r="H109" s="310">
        <f t="shared" si="84"/>
        <v>17199</v>
      </c>
      <c r="I109" s="401"/>
      <c r="J109" s="309">
        <f>'Qtr 1 Budget'!L109</f>
        <v>0</v>
      </c>
      <c r="K109" s="400"/>
      <c r="L109" s="310">
        <f t="shared" si="85"/>
        <v>0</v>
      </c>
      <c r="M109" s="402"/>
      <c r="N109" s="309">
        <f t="shared" si="86"/>
        <v>17199</v>
      </c>
      <c r="O109" s="310">
        <f t="shared" si="87"/>
        <v>0</v>
      </c>
      <c r="P109" s="310">
        <f t="shared" si="88"/>
        <v>17199</v>
      </c>
      <c r="Q109" s="311">
        <f t="shared" si="89"/>
        <v>0</v>
      </c>
      <c r="R109" s="312">
        <f t="shared" si="90"/>
        <v>3.4966826543594452E-3</v>
      </c>
      <c r="S109" s="312">
        <f t="shared" si="91"/>
        <v>0</v>
      </c>
      <c r="T109" s="417"/>
    </row>
    <row r="110" spans="1:20" ht="15" customHeight="1">
      <c r="A110" s="305">
        <f t="shared" si="55"/>
        <v>100</v>
      </c>
      <c r="B110" s="306"/>
      <c r="C110" s="306" t="s">
        <v>35</v>
      </c>
      <c r="D110" s="307"/>
      <c r="E110" s="308" t="s">
        <v>96</v>
      </c>
      <c r="F110" s="309">
        <f>'Qtr 1 Budget'!H110</f>
        <v>0</v>
      </c>
      <c r="G110" s="400"/>
      <c r="H110" s="310">
        <f t="shared" si="84"/>
        <v>0</v>
      </c>
      <c r="I110" s="401"/>
      <c r="J110" s="309">
        <f>'Qtr 1 Budget'!L110</f>
        <v>0</v>
      </c>
      <c r="K110" s="400"/>
      <c r="L110" s="310">
        <f t="shared" si="85"/>
        <v>0</v>
      </c>
      <c r="M110" s="402"/>
      <c r="N110" s="309">
        <f t="shared" si="86"/>
        <v>0</v>
      </c>
      <c r="O110" s="310">
        <f t="shared" si="87"/>
        <v>0</v>
      </c>
      <c r="P110" s="310">
        <f t="shared" si="88"/>
        <v>0</v>
      </c>
      <c r="Q110" s="311">
        <f t="shared" si="89"/>
        <v>0</v>
      </c>
      <c r="R110" s="312">
        <f t="shared" si="90"/>
        <v>0</v>
      </c>
      <c r="S110" s="312" t="str">
        <f t="shared" si="91"/>
        <v/>
      </c>
      <c r="T110" s="417"/>
    </row>
    <row r="111" spans="1:20" ht="15" customHeight="1">
      <c r="A111" s="305">
        <f t="shared" si="55"/>
        <v>101</v>
      </c>
      <c r="B111" s="306"/>
      <c r="C111" s="313" t="s">
        <v>199</v>
      </c>
      <c r="D111" s="307"/>
      <c r="E111" s="308" t="s">
        <v>96</v>
      </c>
      <c r="F111" s="309">
        <f>'Qtr 1 Budget'!H111</f>
        <v>730338</v>
      </c>
      <c r="G111" s="400"/>
      <c r="H111" s="310">
        <f t="shared" si="84"/>
        <v>730338</v>
      </c>
      <c r="I111" s="401"/>
      <c r="J111" s="309">
        <f>'Qtr 1 Budget'!L111</f>
        <v>16794</v>
      </c>
      <c r="K111" s="400"/>
      <c r="L111" s="310">
        <f t="shared" si="85"/>
        <v>16794</v>
      </c>
      <c r="M111" s="402"/>
      <c r="N111" s="309">
        <f t="shared" si="86"/>
        <v>747132</v>
      </c>
      <c r="O111" s="310">
        <f t="shared" si="87"/>
        <v>0</v>
      </c>
      <c r="P111" s="310">
        <f t="shared" si="88"/>
        <v>747132</v>
      </c>
      <c r="Q111" s="311">
        <f t="shared" si="89"/>
        <v>0</v>
      </c>
      <c r="R111" s="312">
        <f t="shared" si="90"/>
        <v>0.15189740711186006</v>
      </c>
      <c r="S111" s="312">
        <f t="shared" si="91"/>
        <v>0</v>
      </c>
      <c r="T111" s="417"/>
    </row>
    <row r="112" spans="1:20" ht="15" customHeight="1">
      <c r="A112" s="314">
        <f t="shared" si="55"/>
        <v>102</v>
      </c>
      <c r="B112" s="315"/>
      <c r="C112" s="315"/>
      <c r="D112" s="316" t="s">
        <v>79</v>
      </c>
      <c r="E112" s="317" t="s">
        <v>14</v>
      </c>
      <c r="F112" s="318">
        <f>SUM(F108:F111)</f>
        <v>760037</v>
      </c>
      <c r="G112" s="319">
        <f t="shared" ref="G112:Q112" si="92">SUM(G108:G111)</f>
        <v>0</v>
      </c>
      <c r="H112" s="319">
        <f t="shared" si="92"/>
        <v>760037</v>
      </c>
      <c r="I112" s="320">
        <f t="shared" si="92"/>
        <v>0</v>
      </c>
      <c r="J112" s="318">
        <f t="shared" si="92"/>
        <v>16794</v>
      </c>
      <c r="K112" s="319">
        <f t="shared" si="92"/>
        <v>0</v>
      </c>
      <c r="L112" s="319">
        <f t="shared" si="92"/>
        <v>16794</v>
      </c>
      <c r="M112" s="320">
        <f t="shared" si="92"/>
        <v>0</v>
      </c>
      <c r="N112" s="318">
        <f t="shared" si="92"/>
        <v>776831</v>
      </c>
      <c r="O112" s="319">
        <f t="shared" si="92"/>
        <v>0</v>
      </c>
      <c r="P112" s="319">
        <f t="shared" si="92"/>
        <v>776831</v>
      </c>
      <c r="Q112" s="321">
        <f t="shared" si="92"/>
        <v>0</v>
      </c>
      <c r="R112" s="322">
        <f t="shared" si="90"/>
        <v>0.15793543130814014</v>
      </c>
      <c r="S112" s="322">
        <f t="shared" si="91"/>
        <v>0</v>
      </c>
      <c r="T112" s="418"/>
    </row>
    <row r="113" spans="1:20" ht="17.25" customHeight="1">
      <c r="A113" s="323">
        <f t="shared" si="55"/>
        <v>103</v>
      </c>
      <c r="B113" s="324" t="s">
        <v>81</v>
      </c>
      <c r="C113" s="324"/>
      <c r="D113" s="326"/>
      <c r="E113" s="327"/>
      <c r="F113" s="328"/>
      <c r="G113" s="329"/>
      <c r="H113" s="329"/>
      <c r="I113" s="330"/>
      <c r="J113" s="328"/>
      <c r="K113" s="329"/>
      <c r="L113" s="329"/>
      <c r="M113" s="331"/>
      <c r="N113" s="328"/>
      <c r="O113" s="329"/>
      <c r="P113" s="329"/>
      <c r="Q113" s="311"/>
      <c r="R113" s="312"/>
      <c r="S113" s="312"/>
      <c r="T113" s="419"/>
    </row>
    <row r="114" spans="1:20" ht="17.25" customHeight="1">
      <c r="A114" s="305">
        <f t="shared" si="55"/>
        <v>104</v>
      </c>
      <c r="B114" s="332"/>
      <c r="C114" s="306" t="s">
        <v>24</v>
      </c>
      <c r="D114" s="307"/>
      <c r="E114" s="308">
        <v>411</v>
      </c>
      <c r="F114" s="309">
        <f>'Qtr 1 Budget'!H114</f>
        <v>24500</v>
      </c>
      <c r="G114" s="400"/>
      <c r="H114" s="310">
        <f t="shared" ref="H114:H118" si="93">SUM(F114:G114)</f>
        <v>24500</v>
      </c>
      <c r="I114" s="401"/>
      <c r="J114" s="309">
        <f>'Qtr 1 Budget'!L114</f>
        <v>0</v>
      </c>
      <c r="K114" s="400"/>
      <c r="L114" s="310">
        <f t="shared" ref="L114:L118" si="94">SUM(J114:K114)</f>
        <v>0</v>
      </c>
      <c r="M114" s="402"/>
      <c r="N114" s="309">
        <f t="shared" ref="N114:N118" si="95">F114+J114</f>
        <v>24500</v>
      </c>
      <c r="O114" s="310">
        <f t="shared" ref="O114:O118" si="96">K114+G114</f>
        <v>0</v>
      </c>
      <c r="P114" s="310">
        <f t="shared" ref="P114:P118" si="97">SUM(N114:O114)</f>
        <v>24500</v>
      </c>
      <c r="Q114" s="311">
        <f t="shared" ref="Q114:Q118" si="98">M114+I114</f>
        <v>0</v>
      </c>
      <c r="R114" s="312">
        <f t="shared" ref="R114:R119" si="99">P114/$P$156</f>
        <v>4.9810294221644515E-3</v>
      </c>
      <c r="S114" s="312">
        <f t="shared" ref="S114:S119" si="100">IFERROR(Q114/P114,"")</f>
        <v>0</v>
      </c>
      <c r="T114" s="417"/>
    </row>
    <row r="115" spans="1:20" ht="15" customHeight="1">
      <c r="A115" s="305">
        <f t="shared" si="55"/>
        <v>105</v>
      </c>
      <c r="B115" s="332"/>
      <c r="C115" s="333" t="s">
        <v>114</v>
      </c>
      <c r="D115" s="307"/>
      <c r="E115" s="308">
        <v>441</v>
      </c>
      <c r="F115" s="309">
        <f>'Qtr 1 Budget'!H115</f>
        <v>0</v>
      </c>
      <c r="G115" s="400"/>
      <c r="H115" s="310">
        <f t="shared" si="93"/>
        <v>0</v>
      </c>
      <c r="I115" s="401"/>
      <c r="J115" s="309">
        <f>'Qtr 1 Budget'!L115</f>
        <v>0</v>
      </c>
      <c r="K115" s="400"/>
      <c r="L115" s="310">
        <f t="shared" si="94"/>
        <v>0</v>
      </c>
      <c r="M115" s="402"/>
      <c r="N115" s="309">
        <f t="shared" si="95"/>
        <v>0</v>
      </c>
      <c r="O115" s="310">
        <f t="shared" si="96"/>
        <v>0</v>
      </c>
      <c r="P115" s="310">
        <f t="shared" si="97"/>
        <v>0</v>
      </c>
      <c r="Q115" s="311">
        <f t="shared" si="98"/>
        <v>0</v>
      </c>
      <c r="R115" s="312">
        <f t="shared" si="99"/>
        <v>0</v>
      </c>
      <c r="S115" s="312" t="str">
        <f t="shared" si="100"/>
        <v/>
      </c>
      <c r="T115" s="417"/>
    </row>
    <row r="116" spans="1:20" ht="15" customHeight="1">
      <c r="A116" s="305">
        <f t="shared" si="55"/>
        <v>106</v>
      </c>
      <c r="B116" s="332"/>
      <c r="C116" s="306" t="s">
        <v>97</v>
      </c>
      <c r="D116" s="307"/>
      <c r="E116" s="308">
        <v>442</v>
      </c>
      <c r="F116" s="309">
        <f>'Qtr 1 Budget'!H116</f>
        <v>22070</v>
      </c>
      <c r="G116" s="400"/>
      <c r="H116" s="310">
        <f t="shared" si="93"/>
        <v>22070</v>
      </c>
      <c r="I116" s="401"/>
      <c r="J116" s="309">
        <f>'Qtr 1 Budget'!L116</f>
        <v>0</v>
      </c>
      <c r="K116" s="400"/>
      <c r="L116" s="310">
        <f t="shared" si="94"/>
        <v>0</v>
      </c>
      <c r="M116" s="402"/>
      <c r="N116" s="309">
        <f t="shared" si="95"/>
        <v>22070</v>
      </c>
      <c r="O116" s="310">
        <f t="shared" si="96"/>
        <v>0</v>
      </c>
      <c r="P116" s="310">
        <f t="shared" si="97"/>
        <v>22070</v>
      </c>
      <c r="Q116" s="311">
        <f t="shared" si="98"/>
        <v>0</v>
      </c>
      <c r="R116" s="312">
        <f t="shared" si="99"/>
        <v>4.4869926264150799E-3</v>
      </c>
      <c r="S116" s="312">
        <f t="shared" si="100"/>
        <v>0</v>
      </c>
      <c r="T116" s="417"/>
    </row>
    <row r="117" spans="1:20" ht="15" customHeight="1">
      <c r="A117" s="305">
        <f t="shared" si="55"/>
        <v>107</v>
      </c>
      <c r="B117" s="332"/>
      <c r="C117" s="306" t="s">
        <v>36</v>
      </c>
      <c r="D117" s="307"/>
      <c r="E117" s="308">
        <v>430</v>
      </c>
      <c r="F117" s="309">
        <f>'Qtr 1 Budget'!H117</f>
        <v>81000</v>
      </c>
      <c r="G117" s="400"/>
      <c r="H117" s="310">
        <f t="shared" si="93"/>
        <v>81000</v>
      </c>
      <c r="I117" s="401"/>
      <c r="J117" s="309">
        <f>'Qtr 1 Budget'!L117</f>
        <v>0</v>
      </c>
      <c r="K117" s="400"/>
      <c r="L117" s="310">
        <f t="shared" si="94"/>
        <v>0</v>
      </c>
      <c r="M117" s="402"/>
      <c r="N117" s="309">
        <f t="shared" si="95"/>
        <v>81000</v>
      </c>
      <c r="O117" s="310">
        <f t="shared" si="96"/>
        <v>0</v>
      </c>
      <c r="P117" s="310">
        <f t="shared" si="97"/>
        <v>81000</v>
      </c>
      <c r="Q117" s="311">
        <f t="shared" si="98"/>
        <v>0</v>
      </c>
      <c r="R117" s="312">
        <f t="shared" si="99"/>
        <v>1.6467893191645738E-2</v>
      </c>
      <c r="S117" s="312">
        <f t="shared" si="100"/>
        <v>0</v>
      </c>
      <c r="T117" s="417"/>
    </row>
    <row r="118" spans="1:20" ht="15" customHeight="1">
      <c r="A118" s="305">
        <f t="shared" si="55"/>
        <v>108</v>
      </c>
      <c r="B118" s="306"/>
      <c r="C118" s="313" t="s">
        <v>200</v>
      </c>
      <c r="D118" s="307"/>
      <c r="E118" s="334" t="s">
        <v>98</v>
      </c>
      <c r="F118" s="309">
        <f>'Qtr 1 Budget'!H118</f>
        <v>78039</v>
      </c>
      <c r="G118" s="400"/>
      <c r="H118" s="310">
        <f t="shared" si="93"/>
        <v>78039</v>
      </c>
      <c r="I118" s="401"/>
      <c r="J118" s="309">
        <f>'Qtr 1 Budget'!L118</f>
        <v>0</v>
      </c>
      <c r="K118" s="400"/>
      <c r="L118" s="310">
        <f t="shared" si="94"/>
        <v>0</v>
      </c>
      <c r="M118" s="402"/>
      <c r="N118" s="309">
        <f t="shared" si="95"/>
        <v>78039</v>
      </c>
      <c r="O118" s="310">
        <f t="shared" si="96"/>
        <v>0</v>
      </c>
      <c r="P118" s="310">
        <f t="shared" si="97"/>
        <v>78039</v>
      </c>
      <c r="Q118" s="311">
        <f t="shared" si="98"/>
        <v>0</v>
      </c>
      <c r="R118" s="312">
        <f t="shared" si="99"/>
        <v>1.5865900207195579E-2</v>
      </c>
      <c r="S118" s="312">
        <f t="shared" si="100"/>
        <v>0</v>
      </c>
      <c r="T118" s="417"/>
    </row>
    <row r="119" spans="1:20" ht="15" customHeight="1" thickBot="1">
      <c r="A119" s="219">
        <f t="shared" si="55"/>
        <v>109</v>
      </c>
      <c r="B119" s="195"/>
      <c r="C119" s="195" t="s">
        <v>82</v>
      </c>
      <c r="D119" s="196"/>
      <c r="E119" s="197">
        <v>400</v>
      </c>
      <c r="F119" s="223">
        <f>SUM(F114:F118)</f>
        <v>205609</v>
      </c>
      <c r="G119" s="226">
        <f t="shared" ref="G119:Q119" si="101">SUM(G114:G118)</f>
        <v>0</v>
      </c>
      <c r="H119" s="226">
        <f t="shared" si="101"/>
        <v>205609</v>
      </c>
      <c r="I119" s="199">
        <f t="shared" si="101"/>
        <v>0</v>
      </c>
      <c r="J119" s="223">
        <f t="shared" si="101"/>
        <v>0</v>
      </c>
      <c r="K119" s="226">
        <f t="shared" si="101"/>
        <v>0</v>
      </c>
      <c r="L119" s="226">
        <f t="shared" si="101"/>
        <v>0</v>
      </c>
      <c r="M119" s="199">
        <f t="shared" si="101"/>
        <v>0</v>
      </c>
      <c r="N119" s="223">
        <f t="shared" si="101"/>
        <v>205609</v>
      </c>
      <c r="O119" s="226">
        <f t="shared" si="101"/>
        <v>0</v>
      </c>
      <c r="P119" s="226">
        <f t="shared" si="101"/>
        <v>205609</v>
      </c>
      <c r="Q119" s="198">
        <f t="shared" si="101"/>
        <v>0</v>
      </c>
      <c r="R119" s="194">
        <f t="shared" si="99"/>
        <v>4.1801815447420849E-2</v>
      </c>
      <c r="S119" s="194">
        <f t="shared" si="100"/>
        <v>0</v>
      </c>
      <c r="T119" s="415"/>
    </row>
    <row r="120" spans="1:20" ht="17.25" customHeight="1" thickTop="1">
      <c r="A120" s="268">
        <f t="shared" si="55"/>
        <v>110</v>
      </c>
      <c r="B120" s="269" t="s">
        <v>99</v>
      </c>
      <c r="C120" s="269"/>
      <c r="D120" s="270"/>
      <c r="E120" s="335"/>
      <c r="F120" s="336"/>
      <c r="G120" s="337"/>
      <c r="H120" s="337"/>
      <c r="I120" s="338"/>
      <c r="J120" s="336"/>
      <c r="K120" s="337"/>
      <c r="L120" s="337"/>
      <c r="M120" s="339"/>
      <c r="N120" s="336"/>
      <c r="O120" s="337"/>
      <c r="P120" s="337"/>
      <c r="Q120" s="340"/>
      <c r="R120" s="275"/>
      <c r="S120" s="275"/>
      <c r="T120" s="420"/>
    </row>
    <row r="121" spans="1:20" ht="17.25" customHeight="1">
      <c r="A121" s="243">
        <f t="shared" si="55"/>
        <v>111</v>
      </c>
      <c r="B121" s="302"/>
      <c r="C121" s="288" t="s">
        <v>15</v>
      </c>
      <c r="D121" s="231"/>
      <c r="E121" s="245" t="s">
        <v>16</v>
      </c>
      <c r="F121" s="290">
        <f>'Qtr 1 Budget'!H121</f>
        <v>351360</v>
      </c>
      <c r="G121" s="398"/>
      <c r="H121" s="291">
        <f t="shared" ref="H121:H129" si="102">SUM(F121:G121)</f>
        <v>351360</v>
      </c>
      <c r="I121" s="393"/>
      <c r="J121" s="290">
        <f>'Qtr 1 Budget'!L121</f>
        <v>0</v>
      </c>
      <c r="K121" s="398"/>
      <c r="L121" s="291">
        <f t="shared" ref="L121:L129" si="103">SUM(J121:K121)</f>
        <v>0</v>
      </c>
      <c r="M121" s="399"/>
      <c r="N121" s="290">
        <f t="shared" ref="N121:N129" si="104">F121+J121</f>
        <v>351360</v>
      </c>
      <c r="O121" s="291">
        <f t="shared" ref="O121:O129" si="105">K121+G121</f>
        <v>0</v>
      </c>
      <c r="P121" s="291">
        <f t="shared" ref="P121:P129" si="106">SUM(N121:O121)</f>
        <v>351360</v>
      </c>
      <c r="Q121" s="289">
        <f t="shared" ref="Q121:Q129" si="107">M121+I121</f>
        <v>0</v>
      </c>
      <c r="R121" s="251">
        <f t="shared" ref="R121:R130" si="108">P121/$P$156</f>
        <v>7.1434061133538854E-2</v>
      </c>
      <c r="S121" s="251">
        <f t="shared" ref="S121:S130" si="109">IFERROR(Q121/P121,"")</f>
        <v>0</v>
      </c>
      <c r="T121" s="407"/>
    </row>
    <row r="122" spans="1:20" ht="15" customHeight="1">
      <c r="A122" s="243">
        <f t="shared" si="55"/>
        <v>112</v>
      </c>
      <c r="B122" s="302"/>
      <c r="C122" s="288" t="s">
        <v>146</v>
      </c>
      <c r="D122" s="231"/>
      <c r="E122" s="245">
        <v>522</v>
      </c>
      <c r="F122" s="290">
        <f>'Qtr 1 Budget'!H122</f>
        <v>0</v>
      </c>
      <c r="G122" s="398"/>
      <c r="H122" s="291">
        <f t="shared" si="102"/>
        <v>0</v>
      </c>
      <c r="I122" s="393"/>
      <c r="J122" s="290">
        <f>'Qtr 1 Budget'!L122</f>
        <v>0</v>
      </c>
      <c r="K122" s="398"/>
      <c r="L122" s="291">
        <f t="shared" si="103"/>
        <v>0</v>
      </c>
      <c r="M122" s="399"/>
      <c r="N122" s="290">
        <f t="shared" si="104"/>
        <v>0</v>
      </c>
      <c r="O122" s="291">
        <f t="shared" si="105"/>
        <v>0</v>
      </c>
      <c r="P122" s="291">
        <f t="shared" si="106"/>
        <v>0</v>
      </c>
      <c r="Q122" s="289">
        <f t="shared" si="107"/>
        <v>0</v>
      </c>
      <c r="R122" s="251">
        <f t="shared" si="108"/>
        <v>0</v>
      </c>
      <c r="S122" s="251" t="str">
        <f t="shared" si="109"/>
        <v/>
      </c>
      <c r="T122" s="407"/>
    </row>
    <row r="123" spans="1:20" ht="15" customHeight="1">
      <c r="A123" s="243">
        <f t="shared" si="55"/>
        <v>113</v>
      </c>
      <c r="B123" s="302"/>
      <c r="C123" s="288" t="s">
        <v>147</v>
      </c>
      <c r="D123" s="231"/>
      <c r="E123" s="245">
        <v>521</v>
      </c>
      <c r="F123" s="290">
        <f>'Qtr 1 Budget'!H123</f>
        <v>51000</v>
      </c>
      <c r="G123" s="398"/>
      <c r="H123" s="291">
        <f t="shared" si="102"/>
        <v>51000</v>
      </c>
      <c r="I123" s="393"/>
      <c r="J123" s="290">
        <f>'Qtr 1 Budget'!L123</f>
        <v>0</v>
      </c>
      <c r="K123" s="398"/>
      <c r="L123" s="291">
        <f t="shared" si="103"/>
        <v>0</v>
      </c>
      <c r="M123" s="399"/>
      <c r="N123" s="290">
        <f t="shared" si="104"/>
        <v>51000</v>
      </c>
      <c r="O123" s="291">
        <f t="shared" si="105"/>
        <v>0</v>
      </c>
      <c r="P123" s="291">
        <f t="shared" si="106"/>
        <v>51000</v>
      </c>
      <c r="Q123" s="289">
        <f t="shared" si="107"/>
        <v>0</v>
      </c>
      <c r="R123" s="251">
        <f t="shared" si="108"/>
        <v>1.0368673491036207E-2</v>
      </c>
      <c r="S123" s="251">
        <f t="shared" si="109"/>
        <v>0</v>
      </c>
      <c r="T123" s="407"/>
    </row>
    <row r="124" spans="1:20" ht="15" customHeight="1">
      <c r="A124" s="243">
        <f t="shared" si="55"/>
        <v>114</v>
      </c>
      <c r="B124" s="302"/>
      <c r="C124" s="288" t="s">
        <v>148</v>
      </c>
      <c r="D124" s="231"/>
      <c r="E124" s="245">
        <v>523</v>
      </c>
      <c r="F124" s="290">
        <f>'Qtr 1 Budget'!H124</f>
        <v>0</v>
      </c>
      <c r="G124" s="398"/>
      <c r="H124" s="291">
        <f t="shared" si="102"/>
        <v>0</v>
      </c>
      <c r="I124" s="393"/>
      <c r="J124" s="290">
        <f>'Qtr 1 Budget'!L124</f>
        <v>0</v>
      </c>
      <c r="K124" s="398"/>
      <c r="L124" s="291">
        <f t="shared" si="103"/>
        <v>0</v>
      </c>
      <c r="M124" s="399"/>
      <c r="N124" s="290">
        <f t="shared" si="104"/>
        <v>0</v>
      </c>
      <c r="O124" s="291">
        <f t="shared" si="105"/>
        <v>0</v>
      </c>
      <c r="P124" s="291">
        <f t="shared" si="106"/>
        <v>0</v>
      </c>
      <c r="Q124" s="289">
        <f t="shared" si="107"/>
        <v>0</v>
      </c>
      <c r="R124" s="251">
        <f t="shared" si="108"/>
        <v>0</v>
      </c>
      <c r="S124" s="251" t="str">
        <f t="shared" si="109"/>
        <v/>
      </c>
      <c r="T124" s="407"/>
    </row>
    <row r="125" spans="1:20" ht="15" customHeight="1">
      <c r="A125" s="243">
        <f t="shared" si="55"/>
        <v>115</v>
      </c>
      <c r="B125" s="302"/>
      <c r="C125" s="288" t="s">
        <v>149</v>
      </c>
      <c r="D125" s="231"/>
      <c r="E125" s="245">
        <v>524</v>
      </c>
      <c r="F125" s="290">
        <f>'Qtr 1 Budget'!H125</f>
        <v>0</v>
      </c>
      <c r="G125" s="398"/>
      <c r="H125" s="291">
        <f t="shared" si="102"/>
        <v>0</v>
      </c>
      <c r="I125" s="393"/>
      <c r="J125" s="290">
        <f>'Qtr 1 Budget'!L125</f>
        <v>0</v>
      </c>
      <c r="K125" s="398"/>
      <c r="L125" s="291">
        <f t="shared" si="103"/>
        <v>0</v>
      </c>
      <c r="M125" s="399"/>
      <c r="N125" s="290">
        <f t="shared" si="104"/>
        <v>0</v>
      </c>
      <c r="O125" s="291">
        <f t="shared" si="105"/>
        <v>0</v>
      </c>
      <c r="P125" s="291">
        <f t="shared" si="106"/>
        <v>0</v>
      </c>
      <c r="Q125" s="289">
        <f t="shared" si="107"/>
        <v>0</v>
      </c>
      <c r="R125" s="251">
        <f t="shared" si="108"/>
        <v>0</v>
      </c>
      <c r="S125" s="251" t="str">
        <f t="shared" si="109"/>
        <v/>
      </c>
      <c r="T125" s="407"/>
    </row>
    <row r="126" spans="1:20" ht="15" customHeight="1">
      <c r="A126" s="243">
        <f t="shared" si="55"/>
        <v>116</v>
      </c>
      <c r="B126" s="302"/>
      <c r="C126" s="244" t="s">
        <v>150</v>
      </c>
      <c r="D126" s="231"/>
      <c r="E126" s="245">
        <v>525</v>
      </c>
      <c r="F126" s="290">
        <f>'Qtr 1 Budget'!H126</f>
        <v>0</v>
      </c>
      <c r="G126" s="398"/>
      <c r="H126" s="291">
        <f t="shared" si="102"/>
        <v>0</v>
      </c>
      <c r="I126" s="393"/>
      <c r="J126" s="290">
        <f>'Qtr 1 Budget'!L126</f>
        <v>0</v>
      </c>
      <c r="K126" s="398"/>
      <c r="L126" s="291">
        <f t="shared" si="103"/>
        <v>0</v>
      </c>
      <c r="M126" s="399"/>
      <c r="N126" s="290">
        <f t="shared" si="104"/>
        <v>0</v>
      </c>
      <c r="O126" s="291">
        <f t="shared" si="105"/>
        <v>0</v>
      </c>
      <c r="P126" s="291">
        <f t="shared" si="106"/>
        <v>0</v>
      </c>
      <c r="Q126" s="289">
        <f t="shared" si="107"/>
        <v>0</v>
      </c>
      <c r="R126" s="251">
        <f t="shared" si="108"/>
        <v>0</v>
      </c>
      <c r="S126" s="251" t="str">
        <f t="shared" si="109"/>
        <v/>
      </c>
      <c r="T126" s="407"/>
    </row>
    <row r="127" spans="1:20" ht="17.25" customHeight="1">
      <c r="A127" s="243">
        <f t="shared" si="55"/>
        <v>117</v>
      </c>
      <c r="B127" s="244"/>
      <c r="C127" s="288" t="s">
        <v>115</v>
      </c>
      <c r="D127" s="231"/>
      <c r="E127" s="304" t="s">
        <v>100</v>
      </c>
      <c r="F127" s="290">
        <f>'Qtr 1 Budget'!H127</f>
        <v>0</v>
      </c>
      <c r="G127" s="398"/>
      <c r="H127" s="291">
        <f t="shared" si="102"/>
        <v>0</v>
      </c>
      <c r="I127" s="393"/>
      <c r="J127" s="290">
        <f>'Qtr 1 Budget'!L127</f>
        <v>267500</v>
      </c>
      <c r="K127" s="398"/>
      <c r="L127" s="291">
        <f t="shared" si="103"/>
        <v>267500</v>
      </c>
      <c r="M127" s="399"/>
      <c r="N127" s="290">
        <f t="shared" si="104"/>
        <v>267500</v>
      </c>
      <c r="O127" s="291">
        <f t="shared" si="105"/>
        <v>0</v>
      </c>
      <c r="P127" s="291">
        <f t="shared" si="106"/>
        <v>267500</v>
      </c>
      <c r="Q127" s="289">
        <f t="shared" si="107"/>
        <v>0</v>
      </c>
      <c r="R127" s="251">
        <f t="shared" si="108"/>
        <v>5.4384708997101669E-2</v>
      </c>
      <c r="S127" s="251">
        <f t="shared" si="109"/>
        <v>0</v>
      </c>
      <c r="T127" s="407"/>
    </row>
    <row r="128" spans="1:20" ht="17.25" customHeight="1">
      <c r="A128" s="243">
        <f t="shared" si="55"/>
        <v>118</v>
      </c>
      <c r="B128" s="244"/>
      <c r="C128" s="244" t="s">
        <v>17</v>
      </c>
      <c r="D128" s="231"/>
      <c r="E128" s="245" t="s">
        <v>131</v>
      </c>
      <c r="F128" s="290">
        <f>'Qtr 1 Budget'!H128</f>
        <v>20000</v>
      </c>
      <c r="G128" s="398"/>
      <c r="H128" s="291">
        <f t="shared" si="102"/>
        <v>20000</v>
      </c>
      <c r="I128" s="393"/>
      <c r="J128" s="290">
        <f>'Qtr 1 Budget'!L128</f>
        <v>0</v>
      </c>
      <c r="K128" s="398"/>
      <c r="L128" s="291">
        <f t="shared" si="103"/>
        <v>0</v>
      </c>
      <c r="M128" s="399"/>
      <c r="N128" s="290">
        <f t="shared" si="104"/>
        <v>20000</v>
      </c>
      <c r="O128" s="291">
        <f t="shared" si="105"/>
        <v>0</v>
      </c>
      <c r="P128" s="291">
        <f t="shared" si="106"/>
        <v>20000</v>
      </c>
      <c r="Q128" s="289">
        <f t="shared" si="107"/>
        <v>0</v>
      </c>
      <c r="R128" s="251">
        <f t="shared" si="108"/>
        <v>4.0661464670730223E-3</v>
      </c>
      <c r="S128" s="251">
        <f t="shared" si="109"/>
        <v>0</v>
      </c>
      <c r="T128" s="407"/>
    </row>
    <row r="129" spans="1:20" ht="15" customHeight="1">
      <c r="A129" s="243">
        <f t="shared" si="55"/>
        <v>119</v>
      </c>
      <c r="B129" s="244"/>
      <c r="C129" s="288" t="s">
        <v>201</v>
      </c>
      <c r="D129" s="231"/>
      <c r="E129" s="245" t="s">
        <v>121</v>
      </c>
      <c r="F129" s="290">
        <f>'Qtr 1 Budget'!H129</f>
        <v>104538.23917990293</v>
      </c>
      <c r="G129" s="398"/>
      <c r="H129" s="291">
        <f t="shared" si="102"/>
        <v>104538.23917990293</v>
      </c>
      <c r="I129" s="393"/>
      <c r="J129" s="290">
        <f>'Qtr 1 Budget'!L129</f>
        <v>0</v>
      </c>
      <c r="K129" s="398"/>
      <c r="L129" s="291">
        <f t="shared" si="103"/>
        <v>0</v>
      </c>
      <c r="M129" s="399"/>
      <c r="N129" s="290">
        <f t="shared" si="104"/>
        <v>104538.23917990293</v>
      </c>
      <c r="O129" s="291">
        <f t="shared" si="105"/>
        <v>0</v>
      </c>
      <c r="P129" s="291">
        <f t="shared" si="106"/>
        <v>104538.23917990293</v>
      </c>
      <c r="Q129" s="289">
        <f t="shared" si="107"/>
        <v>0</v>
      </c>
      <c r="R129" s="251">
        <f t="shared" si="108"/>
        <v>2.1253389595769844E-2</v>
      </c>
      <c r="S129" s="251">
        <f t="shared" si="109"/>
        <v>0</v>
      </c>
      <c r="T129" s="407"/>
    </row>
    <row r="130" spans="1:20" ht="15" customHeight="1">
      <c r="A130" s="256">
        <f t="shared" si="55"/>
        <v>120</v>
      </c>
      <c r="B130" s="257"/>
      <c r="C130" s="257" t="s">
        <v>104</v>
      </c>
      <c r="D130" s="341"/>
      <c r="E130" s="293">
        <v>500</v>
      </c>
      <c r="F130" s="294">
        <f>SUM(F121:F129)</f>
        <v>526898.23917990294</v>
      </c>
      <c r="G130" s="295">
        <f t="shared" ref="G130:Q130" si="110">SUM(G121:G129)</f>
        <v>0</v>
      </c>
      <c r="H130" s="295">
        <f t="shared" si="110"/>
        <v>526898.23917990294</v>
      </c>
      <c r="I130" s="296">
        <f t="shared" si="110"/>
        <v>0</v>
      </c>
      <c r="J130" s="294">
        <f t="shared" si="110"/>
        <v>267500</v>
      </c>
      <c r="K130" s="295">
        <f t="shared" si="110"/>
        <v>0</v>
      </c>
      <c r="L130" s="295">
        <f t="shared" si="110"/>
        <v>267500</v>
      </c>
      <c r="M130" s="296">
        <f t="shared" si="110"/>
        <v>0</v>
      </c>
      <c r="N130" s="294">
        <f t="shared" si="110"/>
        <v>794398.23917990294</v>
      </c>
      <c r="O130" s="295">
        <f t="shared" si="110"/>
        <v>0</v>
      </c>
      <c r="P130" s="295">
        <f t="shared" si="110"/>
        <v>794398.23917990294</v>
      </c>
      <c r="Q130" s="297">
        <f t="shared" si="110"/>
        <v>0</v>
      </c>
      <c r="R130" s="263">
        <f t="shared" si="108"/>
        <v>0.1615069796845196</v>
      </c>
      <c r="S130" s="263">
        <f t="shared" si="109"/>
        <v>0</v>
      </c>
      <c r="T130" s="408"/>
    </row>
    <row r="131" spans="1:20" ht="15" customHeight="1">
      <c r="A131" s="234">
        <f t="shared" si="55"/>
        <v>121</v>
      </c>
      <c r="B131" s="235" t="s">
        <v>83</v>
      </c>
      <c r="C131" s="235"/>
      <c r="D131" s="236"/>
      <c r="E131" s="237"/>
      <c r="F131" s="299"/>
      <c r="G131" s="300"/>
      <c r="H131" s="300"/>
      <c r="I131" s="240"/>
      <c r="J131" s="299"/>
      <c r="K131" s="300"/>
      <c r="L131" s="300"/>
      <c r="M131" s="301"/>
      <c r="N131" s="299"/>
      <c r="O131" s="300"/>
      <c r="P131" s="300"/>
      <c r="Q131" s="289"/>
      <c r="R131" s="251"/>
      <c r="S131" s="251"/>
      <c r="T131" s="414"/>
    </row>
    <row r="132" spans="1:20" ht="15" customHeight="1">
      <c r="A132" s="243">
        <f t="shared" si="55"/>
        <v>122</v>
      </c>
      <c r="B132" s="302"/>
      <c r="C132" s="303" t="s">
        <v>39</v>
      </c>
      <c r="D132" s="231"/>
      <c r="E132" s="245">
        <v>610</v>
      </c>
      <c r="F132" s="290">
        <f>'Qtr 1 Budget'!H132</f>
        <v>188750</v>
      </c>
      <c r="G132" s="398"/>
      <c r="H132" s="291">
        <f t="shared" ref="H132:H136" si="111">SUM(F132:G132)</f>
        <v>188750</v>
      </c>
      <c r="I132" s="393"/>
      <c r="J132" s="290">
        <f>'Qtr 1 Budget'!L132</f>
        <v>0</v>
      </c>
      <c r="K132" s="398"/>
      <c r="L132" s="291">
        <f t="shared" ref="L132:L136" si="112">SUM(J132:K132)</f>
        <v>0</v>
      </c>
      <c r="M132" s="399"/>
      <c r="N132" s="290">
        <f t="shared" ref="N132:N136" si="113">F132+J132</f>
        <v>188750</v>
      </c>
      <c r="O132" s="291">
        <f t="shared" ref="O132:O136" si="114">K132+G132</f>
        <v>0</v>
      </c>
      <c r="P132" s="291">
        <f t="shared" ref="P132:P136" si="115">SUM(N132:O132)</f>
        <v>188750</v>
      </c>
      <c r="Q132" s="289">
        <f t="shared" ref="Q132:Q136" si="116">M132+I132</f>
        <v>0</v>
      </c>
      <c r="R132" s="251">
        <f t="shared" ref="R132:R137" si="117">P132/$P$156</f>
        <v>3.8374257283001645E-2</v>
      </c>
      <c r="S132" s="251">
        <f t="shared" ref="S132:S137" si="118">IFERROR(Q132/P132,"")</f>
        <v>0</v>
      </c>
      <c r="T132" s="407"/>
    </row>
    <row r="133" spans="1:20" ht="15" customHeight="1">
      <c r="A133" s="243">
        <f t="shared" si="55"/>
        <v>123</v>
      </c>
      <c r="B133" s="302"/>
      <c r="C133" s="303" t="s">
        <v>71</v>
      </c>
      <c r="D133" s="231"/>
      <c r="E133" s="245" t="s">
        <v>18</v>
      </c>
      <c r="F133" s="290">
        <f>'Qtr 1 Budget'!H133</f>
        <v>112500</v>
      </c>
      <c r="G133" s="398"/>
      <c r="H133" s="291">
        <f t="shared" si="111"/>
        <v>112500</v>
      </c>
      <c r="I133" s="393"/>
      <c r="J133" s="290">
        <f>'Qtr 1 Budget'!L133</f>
        <v>0</v>
      </c>
      <c r="K133" s="398"/>
      <c r="L133" s="291">
        <f t="shared" si="112"/>
        <v>0</v>
      </c>
      <c r="M133" s="399"/>
      <c r="N133" s="290">
        <f t="shared" si="113"/>
        <v>112500</v>
      </c>
      <c r="O133" s="291">
        <f t="shared" si="114"/>
        <v>0</v>
      </c>
      <c r="P133" s="291">
        <f t="shared" si="115"/>
        <v>112500</v>
      </c>
      <c r="Q133" s="289">
        <f t="shared" si="116"/>
        <v>0</v>
      </c>
      <c r="R133" s="251">
        <f t="shared" si="117"/>
        <v>2.2872073877285747E-2</v>
      </c>
      <c r="S133" s="251">
        <f t="shared" si="118"/>
        <v>0</v>
      </c>
      <c r="T133" s="407"/>
    </row>
    <row r="134" spans="1:20" ht="17.25" customHeight="1">
      <c r="A134" s="243">
        <f t="shared" si="55"/>
        <v>124</v>
      </c>
      <c r="B134" s="302"/>
      <c r="C134" s="303" t="s">
        <v>37</v>
      </c>
      <c r="D134" s="231"/>
      <c r="E134" s="245" t="s">
        <v>101</v>
      </c>
      <c r="F134" s="290">
        <f>'Qtr 1 Budget'!H134</f>
        <v>0</v>
      </c>
      <c r="G134" s="398"/>
      <c r="H134" s="291">
        <f t="shared" si="111"/>
        <v>0</v>
      </c>
      <c r="I134" s="393"/>
      <c r="J134" s="290">
        <f>'Qtr 1 Budget'!L134</f>
        <v>0</v>
      </c>
      <c r="K134" s="398"/>
      <c r="L134" s="291">
        <f t="shared" si="112"/>
        <v>0</v>
      </c>
      <c r="M134" s="399"/>
      <c r="N134" s="290">
        <f t="shared" si="113"/>
        <v>0</v>
      </c>
      <c r="O134" s="291">
        <f t="shared" si="114"/>
        <v>0</v>
      </c>
      <c r="P134" s="291">
        <f t="shared" si="115"/>
        <v>0</v>
      </c>
      <c r="Q134" s="289">
        <f t="shared" si="116"/>
        <v>0</v>
      </c>
      <c r="R134" s="251">
        <f t="shared" si="117"/>
        <v>0</v>
      </c>
      <c r="S134" s="251" t="str">
        <f t="shared" si="118"/>
        <v/>
      </c>
      <c r="T134" s="407"/>
    </row>
    <row r="135" spans="1:20" ht="17.25" customHeight="1">
      <c r="A135" s="243">
        <f t="shared" si="55"/>
        <v>125</v>
      </c>
      <c r="B135" s="302"/>
      <c r="C135" s="244" t="s">
        <v>72</v>
      </c>
      <c r="D135" s="231"/>
      <c r="E135" s="245" t="s">
        <v>132</v>
      </c>
      <c r="F135" s="290">
        <f>'Qtr 1 Budget'!H135</f>
        <v>37500</v>
      </c>
      <c r="G135" s="398"/>
      <c r="H135" s="291">
        <f t="shared" si="111"/>
        <v>37500</v>
      </c>
      <c r="I135" s="393"/>
      <c r="J135" s="290">
        <f>'Qtr 1 Budget'!L135</f>
        <v>0</v>
      </c>
      <c r="K135" s="398"/>
      <c r="L135" s="291">
        <f t="shared" si="112"/>
        <v>0</v>
      </c>
      <c r="M135" s="399"/>
      <c r="N135" s="290">
        <f t="shared" si="113"/>
        <v>37500</v>
      </c>
      <c r="O135" s="291">
        <f t="shared" si="114"/>
        <v>0</v>
      </c>
      <c r="P135" s="291">
        <f t="shared" si="115"/>
        <v>37500</v>
      </c>
      <c r="Q135" s="289">
        <f t="shared" si="116"/>
        <v>0</v>
      </c>
      <c r="R135" s="251">
        <f t="shared" si="117"/>
        <v>7.6240246257619163E-3</v>
      </c>
      <c r="S135" s="251">
        <f t="shared" si="118"/>
        <v>0</v>
      </c>
      <c r="T135" s="407"/>
    </row>
    <row r="136" spans="1:20" ht="15" customHeight="1">
      <c r="A136" s="243">
        <f t="shared" si="55"/>
        <v>126</v>
      </c>
      <c r="B136" s="302"/>
      <c r="C136" s="288" t="s">
        <v>202</v>
      </c>
      <c r="D136" s="231"/>
      <c r="E136" s="245" t="s">
        <v>38</v>
      </c>
      <c r="F136" s="290">
        <f>'Qtr 1 Budget'!H136</f>
        <v>57500</v>
      </c>
      <c r="G136" s="398"/>
      <c r="H136" s="291">
        <f t="shared" si="111"/>
        <v>57500</v>
      </c>
      <c r="I136" s="393"/>
      <c r="J136" s="290">
        <f>'Qtr 1 Budget'!L136</f>
        <v>0</v>
      </c>
      <c r="K136" s="398"/>
      <c r="L136" s="291">
        <f t="shared" si="112"/>
        <v>0</v>
      </c>
      <c r="M136" s="399"/>
      <c r="N136" s="290">
        <f t="shared" si="113"/>
        <v>57500</v>
      </c>
      <c r="O136" s="291">
        <f t="shared" si="114"/>
        <v>0</v>
      </c>
      <c r="P136" s="291">
        <f t="shared" si="115"/>
        <v>57500</v>
      </c>
      <c r="Q136" s="289">
        <f t="shared" si="116"/>
        <v>0</v>
      </c>
      <c r="R136" s="251">
        <f t="shared" si="117"/>
        <v>1.1690171092834939E-2</v>
      </c>
      <c r="S136" s="251">
        <f t="shared" si="118"/>
        <v>0</v>
      </c>
      <c r="T136" s="407"/>
    </row>
    <row r="137" spans="1:20" ht="15" customHeight="1">
      <c r="A137" s="256">
        <f t="shared" si="55"/>
        <v>127</v>
      </c>
      <c r="B137" s="257"/>
      <c r="C137" s="257" t="s">
        <v>84</v>
      </c>
      <c r="D137" s="341"/>
      <c r="E137" s="293">
        <v>600</v>
      </c>
      <c r="F137" s="294">
        <f>SUM(F132:F136)</f>
        <v>396250</v>
      </c>
      <c r="G137" s="295">
        <f t="shared" ref="G137:Q137" si="119">SUM(G132:G136)</f>
        <v>0</v>
      </c>
      <c r="H137" s="295">
        <f t="shared" si="119"/>
        <v>396250</v>
      </c>
      <c r="I137" s="296">
        <f t="shared" si="119"/>
        <v>0</v>
      </c>
      <c r="J137" s="294">
        <f t="shared" si="119"/>
        <v>0</v>
      </c>
      <c r="K137" s="295">
        <f t="shared" si="119"/>
        <v>0</v>
      </c>
      <c r="L137" s="295">
        <f t="shared" si="119"/>
        <v>0</v>
      </c>
      <c r="M137" s="296">
        <f t="shared" si="119"/>
        <v>0</v>
      </c>
      <c r="N137" s="294">
        <f t="shared" si="119"/>
        <v>396250</v>
      </c>
      <c r="O137" s="295">
        <f t="shared" si="119"/>
        <v>0</v>
      </c>
      <c r="P137" s="295">
        <f t="shared" si="119"/>
        <v>396250</v>
      </c>
      <c r="Q137" s="297">
        <f t="shared" si="119"/>
        <v>0</v>
      </c>
      <c r="R137" s="263">
        <f t="shared" si="117"/>
        <v>8.056052687888425E-2</v>
      </c>
      <c r="S137" s="263">
        <f t="shared" si="118"/>
        <v>0</v>
      </c>
      <c r="T137" s="408"/>
    </row>
    <row r="138" spans="1:20" ht="15" customHeight="1">
      <c r="A138" s="234">
        <f t="shared" si="55"/>
        <v>128</v>
      </c>
      <c r="B138" s="235" t="s">
        <v>85</v>
      </c>
      <c r="C138" s="235"/>
      <c r="D138" s="236"/>
      <c r="E138" s="237"/>
      <c r="F138" s="299"/>
      <c r="G138" s="300"/>
      <c r="H138" s="300"/>
      <c r="I138" s="240"/>
      <c r="J138" s="299"/>
      <c r="K138" s="300"/>
      <c r="L138" s="300"/>
      <c r="M138" s="301"/>
      <c r="N138" s="299"/>
      <c r="O138" s="300"/>
      <c r="P138" s="300"/>
      <c r="Q138" s="289"/>
      <c r="R138" s="251"/>
      <c r="S138" s="251"/>
      <c r="T138" s="414"/>
    </row>
    <row r="139" spans="1:20" ht="15" customHeight="1">
      <c r="A139" s="243">
        <f t="shared" si="55"/>
        <v>129</v>
      </c>
      <c r="B139" s="302"/>
      <c r="C139" s="288" t="s">
        <v>122</v>
      </c>
      <c r="D139" s="231"/>
      <c r="E139" s="245">
        <v>710</v>
      </c>
      <c r="F139" s="290">
        <f>'Qtr 1 Budget'!H139</f>
        <v>0</v>
      </c>
      <c r="G139" s="398"/>
      <c r="H139" s="291">
        <f t="shared" ref="H139:H142" si="120">SUM(F139:G139)</f>
        <v>0</v>
      </c>
      <c r="I139" s="393"/>
      <c r="J139" s="290">
        <f>'Qtr 1 Budget'!L139</f>
        <v>0</v>
      </c>
      <c r="K139" s="398"/>
      <c r="L139" s="291">
        <f t="shared" ref="L139:L142" si="121">SUM(J139:K139)</f>
        <v>0</v>
      </c>
      <c r="M139" s="399"/>
      <c r="N139" s="290">
        <f t="shared" ref="N139:N142" si="122">F139+J139</f>
        <v>0</v>
      </c>
      <c r="O139" s="291">
        <f t="shared" ref="O139:O142" si="123">K139+G139</f>
        <v>0</v>
      </c>
      <c r="P139" s="291">
        <f t="shared" ref="P139:P142" si="124">SUM(N139:O139)</f>
        <v>0</v>
      </c>
      <c r="Q139" s="289">
        <f t="shared" ref="Q139:Q142" si="125">M139+I139</f>
        <v>0</v>
      </c>
      <c r="R139" s="251">
        <f t="shared" ref="R139:R143" si="126">P139/$P$156</f>
        <v>0</v>
      </c>
      <c r="S139" s="251" t="str">
        <f t="shared" ref="S139:S143" si="127">IFERROR(Q139/P139,"")</f>
        <v/>
      </c>
      <c r="T139" s="407"/>
    </row>
    <row r="140" spans="1:20" ht="17.25" customHeight="1">
      <c r="A140" s="243">
        <f t="shared" si="55"/>
        <v>130</v>
      </c>
      <c r="B140" s="302"/>
      <c r="C140" s="288" t="s">
        <v>73</v>
      </c>
      <c r="D140" s="231"/>
      <c r="E140" s="245">
        <v>720</v>
      </c>
      <c r="F140" s="290">
        <f>'Qtr 1 Budget'!H140</f>
        <v>0</v>
      </c>
      <c r="G140" s="398"/>
      <c r="H140" s="291">
        <f t="shared" si="120"/>
        <v>0</v>
      </c>
      <c r="I140" s="393"/>
      <c r="J140" s="290">
        <f>'Qtr 1 Budget'!L140</f>
        <v>0</v>
      </c>
      <c r="K140" s="398"/>
      <c r="L140" s="291">
        <f t="shared" si="121"/>
        <v>0</v>
      </c>
      <c r="M140" s="399"/>
      <c r="N140" s="290">
        <f t="shared" si="122"/>
        <v>0</v>
      </c>
      <c r="O140" s="291">
        <f t="shared" si="123"/>
        <v>0</v>
      </c>
      <c r="P140" s="291">
        <f t="shared" si="124"/>
        <v>0</v>
      </c>
      <c r="Q140" s="289">
        <f t="shared" si="125"/>
        <v>0</v>
      </c>
      <c r="R140" s="251">
        <f t="shared" si="126"/>
        <v>0</v>
      </c>
      <c r="S140" s="251" t="str">
        <f t="shared" si="127"/>
        <v/>
      </c>
      <c r="T140" s="407"/>
    </row>
    <row r="141" spans="1:20" ht="17.25" customHeight="1">
      <c r="A141" s="243">
        <f t="shared" si="55"/>
        <v>131</v>
      </c>
      <c r="B141" s="302"/>
      <c r="C141" s="303" t="s">
        <v>19</v>
      </c>
      <c r="D141" s="231"/>
      <c r="E141" s="245" t="s">
        <v>123</v>
      </c>
      <c r="F141" s="290">
        <f>'Qtr 1 Budget'!H141</f>
        <v>0</v>
      </c>
      <c r="G141" s="398"/>
      <c r="H141" s="291">
        <f t="shared" si="120"/>
        <v>0</v>
      </c>
      <c r="I141" s="393"/>
      <c r="J141" s="290">
        <f>'Qtr 1 Budget'!L141</f>
        <v>0</v>
      </c>
      <c r="K141" s="398"/>
      <c r="L141" s="291">
        <f t="shared" si="121"/>
        <v>0</v>
      </c>
      <c r="M141" s="399"/>
      <c r="N141" s="290">
        <f t="shared" si="122"/>
        <v>0</v>
      </c>
      <c r="O141" s="291">
        <f t="shared" si="123"/>
        <v>0</v>
      </c>
      <c r="P141" s="291">
        <f t="shared" si="124"/>
        <v>0</v>
      </c>
      <c r="Q141" s="289">
        <f t="shared" si="125"/>
        <v>0</v>
      </c>
      <c r="R141" s="251">
        <f t="shared" si="126"/>
        <v>0</v>
      </c>
      <c r="S141" s="251" t="str">
        <f t="shared" si="127"/>
        <v/>
      </c>
      <c r="T141" s="407"/>
    </row>
    <row r="142" spans="1:20" ht="14.25" customHeight="1">
      <c r="A142" s="243">
        <f t="shared" ref="A142:A156" si="128">A141+1</f>
        <v>132</v>
      </c>
      <c r="B142" s="244"/>
      <c r="C142" s="303" t="s">
        <v>203</v>
      </c>
      <c r="D142" s="231"/>
      <c r="E142" s="245" t="s">
        <v>124</v>
      </c>
      <c r="F142" s="290">
        <f>'Qtr 1 Budget'!H142</f>
        <v>0</v>
      </c>
      <c r="G142" s="398"/>
      <c r="H142" s="291">
        <f t="shared" si="120"/>
        <v>0</v>
      </c>
      <c r="I142" s="393"/>
      <c r="J142" s="290">
        <f>'Qtr 1 Budget'!L142</f>
        <v>0</v>
      </c>
      <c r="K142" s="398"/>
      <c r="L142" s="291">
        <f t="shared" si="121"/>
        <v>0</v>
      </c>
      <c r="M142" s="399"/>
      <c r="N142" s="290">
        <f t="shared" si="122"/>
        <v>0</v>
      </c>
      <c r="O142" s="291">
        <f t="shared" si="123"/>
        <v>0</v>
      </c>
      <c r="P142" s="291">
        <f t="shared" si="124"/>
        <v>0</v>
      </c>
      <c r="Q142" s="289">
        <f t="shared" si="125"/>
        <v>0</v>
      </c>
      <c r="R142" s="251">
        <f t="shared" si="126"/>
        <v>0</v>
      </c>
      <c r="S142" s="251" t="str">
        <f t="shared" si="127"/>
        <v/>
      </c>
      <c r="T142" s="407"/>
    </row>
    <row r="143" spans="1:20" ht="15" customHeight="1">
      <c r="A143" s="256">
        <f t="shared" si="128"/>
        <v>133</v>
      </c>
      <c r="B143" s="257"/>
      <c r="C143" s="257" t="s">
        <v>86</v>
      </c>
      <c r="D143" s="341"/>
      <c r="E143" s="293">
        <v>700</v>
      </c>
      <c r="F143" s="294">
        <f>SUM(F139:F142)</f>
        <v>0</v>
      </c>
      <c r="G143" s="295">
        <f t="shared" ref="G143:Q143" si="129">SUM(G139:G142)</f>
        <v>0</v>
      </c>
      <c r="H143" s="295">
        <f t="shared" si="129"/>
        <v>0</v>
      </c>
      <c r="I143" s="296">
        <f t="shared" si="129"/>
        <v>0</v>
      </c>
      <c r="J143" s="294">
        <f t="shared" si="129"/>
        <v>0</v>
      </c>
      <c r="K143" s="295">
        <f t="shared" si="129"/>
        <v>0</v>
      </c>
      <c r="L143" s="295">
        <f t="shared" si="129"/>
        <v>0</v>
      </c>
      <c r="M143" s="296">
        <f t="shared" si="129"/>
        <v>0</v>
      </c>
      <c r="N143" s="294">
        <f t="shared" si="129"/>
        <v>0</v>
      </c>
      <c r="O143" s="295">
        <f t="shared" si="129"/>
        <v>0</v>
      </c>
      <c r="P143" s="295">
        <f t="shared" si="129"/>
        <v>0</v>
      </c>
      <c r="Q143" s="297">
        <f t="shared" si="129"/>
        <v>0</v>
      </c>
      <c r="R143" s="263">
        <f t="shared" si="126"/>
        <v>0</v>
      </c>
      <c r="S143" s="263" t="str">
        <f t="shared" si="127"/>
        <v/>
      </c>
      <c r="T143" s="408"/>
    </row>
    <row r="144" spans="1:20" ht="15" customHeight="1">
      <c r="A144" s="234">
        <f t="shared" si="128"/>
        <v>134</v>
      </c>
      <c r="B144" s="235" t="s">
        <v>87</v>
      </c>
      <c r="C144" s="235"/>
      <c r="D144" s="236"/>
      <c r="E144" s="237"/>
      <c r="F144" s="299"/>
      <c r="G144" s="300"/>
      <c r="H144" s="300"/>
      <c r="I144" s="240"/>
      <c r="J144" s="299"/>
      <c r="K144" s="300"/>
      <c r="L144" s="300"/>
      <c r="M144" s="301"/>
      <c r="N144" s="299"/>
      <c r="O144" s="300"/>
      <c r="P144" s="300"/>
      <c r="Q144" s="289"/>
      <c r="R144" s="251"/>
      <c r="S144" s="251"/>
      <c r="T144" s="414"/>
    </row>
    <row r="145" spans="1:20" ht="15" customHeight="1">
      <c r="A145" s="243">
        <f t="shared" si="128"/>
        <v>135</v>
      </c>
      <c r="B145" s="302"/>
      <c r="C145" s="303" t="s">
        <v>144</v>
      </c>
      <c r="D145" s="231"/>
      <c r="E145" s="245">
        <v>810</v>
      </c>
      <c r="F145" s="290">
        <f>'Qtr 1 Budget'!H145</f>
        <v>71000</v>
      </c>
      <c r="G145" s="398"/>
      <c r="H145" s="291">
        <f t="shared" ref="H145:H149" si="130">SUM(F145:G145)</f>
        <v>71000</v>
      </c>
      <c r="I145" s="393"/>
      <c r="J145" s="290">
        <f>'Qtr 1 Budget'!L145</f>
        <v>0</v>
      </c>
      <c r="K145" s="398"/>
      <c r="L145" s="291">
        <f t="shared" ref="L145:L149" si="131">SUM(J145:K145)</f>
        <v>0</v>
      </c>
      <c r="M145" s="399"/>
      <c r="N145" s="290">
        <f t="shared" ref="N145:N149" si="132">F145+J145</f>
        <v>71000</v>
      </c>
      <c r="O145" s="291">
        <f t="shared" ref="O145:O149" si="133">K145+G145</f>
        <v>0</v>
      </c>
      <c r="P145" s="291">
        <f t="shared" ref="P145:P149" si="134">SUM(N145:O145)</f>
        <v>71000</v>
      </c>
      <c r="Q145" s="289">
        <f t="shared" ref="Q145:Q149" si="135">M145+I145</f>
        <v>0</v>
      </c>
      <c r="R145" s="251">
        <f t="shared" ref="R145:R150" si="136">P145/$P$156</f>
        <v>1.4434819958109229E-2</v>
      </c>
      <c r="S145" s="251">
        <f t="shared" ref="S145:S150" si="137">IFERROR(Q145/P145,"")</f>
        <v>0</v>
      </c>
      <c r="T145" s="407"/>
    </row>
    <row r="146" spans="1:20" ht="15" customHeight="1">
      <c r="A146" s="243">
        <f t="shared" si="128"/>
        <v>136</v>
      </c>
      <c r="B146" s="302"/>
      <c r="C146" s="303" t="s">
        <v>145</v>
      </c>
      <c r="D146" s="231"/>
      <c r="E146" s="245">
        <v>810</v>
      </c>
      <c r="F146" s="290">
        <f>'Qtr 1 Budget'!H146</f>
        <v>0</v>
      </c>
      <c r="G146" s="398"/>
      <c r="H146" s="291">
        <f t="shared" si="130"/>
        <v>0</v>
      </c>
      <c r="I146" s="393"/>
      <c r="J146" s="290">
        <f>'Qtr 1 Budget'!L146</f>
        <v>0</v>
      </c>
      <c r="K146" s="398"/>
      <c r="L146" s="291">
        <f t="shared" si="131"/>
        <v>0</v>
      </c>
      <c r="M146" s="399"/>
      <c r="N146" s="290">
        <f t="shared" si="132"/>
        <v>0</v>
      </c>
      <c r="O146" s="291">
        <f t="shared" si="133"/>
        <v>0</v>
      </c>
      <c r="P146" s="291">
        <f t="shared" si="134"/>
        <v>0</v>
      </c>
      <c r="Q146" s="289">
        <f t="shared" si="135"/>
        <v>0</v>
      </c>
      <c r="R146" s="251">
        <f t="shared" si="136"/>
        <v>0</v>
      </c>
      <c r="S146" s="251" t="str">
        <f t="shared" si="137"/>
        <v/>
      </c>
      <c r="T146" s="407"/>
    </row>
    <row r="147" spans="1:20" ht="17.25" customHeight="1">
      <c r="A147" s="243">
        <f t="shared" si="128"/>
        <v>137</v>
      </c>
      <c r="B147" s="302"/>
      <c r="C147" s="288" t="s">
        <v>25</v>
      </c>
      <c r="D147" s="231"/>
      <c r="E147" s="245">
        <v>830</v>
      </c>
      <c r="F147" s="290">
        <f>'Qtr 1 Budget'!H147</f>
        <v>0</v>
      </c>
      <c r="G147" s="398"/>
      <c r="H147" s="291">
        <f t="shared" si="130"/>
        <v>0</v>
      </c>
      <c r="I147" s="393"/>
      <c r="J147" s="290">
        <f>'Qtr 1 Budget'!L147</f>
        <v>0</v>
      </c>
      <c r="K147" s="398"/>
      <c r="L147" s="291">
        <f t="shared" si="131"/>
        <v>0</v>
      </c>
      <c r="M147" s="399"/>
      <c r="N147" s="290">
        <f t="shared" si="132"/>
        <v>0</v>
      </c>
      <c r="O147" s="291">
        <f t="shared" si="133"/>
        <v>0</v>
      </c>
      <c r="P147" s="291">
        <f t="shared" si="134"/>
        <v>0</v>
      </c>
      <c r="Q147" s="289">
        <f t="shared" si="135"/>
        <v>0</v>
      </c>
      <c r="R147" s="251">
        <f t="shared" si="136"/>
        <v>0</v>
      </c>
      <c r="S147" s="251" t="str">
        <f t="shared" si="137"/>
        <v/>
      </c>
      <c r="T147" s="407"/>
    </row>
    <row r="148" spans="1:20" ht="17.25" customHeight="1">
      <c r="A148" s="243">
        <f t="shared" si="128"/>
        <v>138</v>
      </c>
      <c r="B148" s="302"/>
      <c r="C148" s="288" t="s">
        <v>127</v>
      </c>
      <c r="D148" s="231"/>
      <c r="E148" s="245">
        <v>831</v>
      </c>
      <c r="F148" s="290">
        <f>'Qtr 1 Budget'!H148</f>
        <v>0</v>
      </c>
      <c r="G148" s="398"/>
      <c r="H148" s="291">
        <f t="shared" si="130"/>
        <v>0</v>
      </c>
      <c r="I148" s="393"/>
      <c r="J148" s="290">
        <f>'Qtr 1 Budget'!L148</f>
        <v>0</v>
      </c>
      <c r="K148" s="398"/>
      <c r="L148" s="291">
        <f t="shared" si="131"/>
        <v>0</v>
      </c>
      <c r="M148" s="399"/>
      <c r="N148" s="290">
        <f t="shared" si="132"/>
        <v>0</v>
      </c>
      <c r="O148" s="291">
        <f t="shared" si="133"/>
        <v>0</v>
      </c>
      <c r="P148" s="291">
        <f t="shared" si="134"/>
        <v>0</v>
      </c>
      <c r="Q148" s="289">
        <f t="shared" si="135"/>
        <v>0</v>
      </c>
      <c r="R148" s="251">
        <f t="shared" si="136"/>
        <v>0</v>
      </c>
      <c r="S148" s="251" t="str">
        <f t="shared" si="137"/>
        <v/>
      </c>
      <c r="T148" s="407"/>
    </row>
    <row r="149" spans="1:20" ht="15" customHeight="1">
      <c r="A149" s="243">
        <f t="shared" si="128"/>
        <v>139</v>
      </c>
      <c r="B149" s="302"/>
      <c r="C149" s="288" t="s">
        <v>204</v>
      </c>
      <c r="D149" s="231"/>
      <c r="E149" s="245" t="s">
        <v>125</v>
      </c>
      <c r="F149" s="290">
        <f>'Qtr 1 Budget'!H149</f>
        <v>0</v>
      </c>
      <c r="G149" s="398"/>
      <c r="H149" s="291">
        <f t="shared" si="130"/>
        <v>0</v>
      </c>
      <c r="I149" s="393"/>
      <c r="J149" s="290">
        <f>'Qtr 1 Budget'!L149</f>
        <v>0</v>
      </c>
      <c r="K149" s="398"/>
      <c r="L149" s="291">
        <f t="shared" si="131"/>
        <v>0</v>
      </c>
      <c r="M149" s="399"/>
      <c r="N149" s="290">
        <f t="shared" si="132"/>
        <v>0</v>
      </c>
      <c r="O149" s="291">
        <f t="shared" si="133"/>
        <v>0</v>
      </c>
      <c r="P149" s="291">
        <f t="shared" si="134"/>
        <v>0</v>
      </c>
      <c r="Q149" s="289">
        <f t="shared" si="135"/>
        <v>0</v>
      </c>
      <c r="R149" s="251">
        <f t="shared" si="136"/>
        <v>0</v>
      </c>
      <c r="S149" s="251" t="str">
        <f t="shared" si="137"/>
        <v/>
      </c>
      <c r="T149" s="407"/>
    </row>
    <row r="150" spans="1:20" ht="15" customHeight="1">
      <c r="A150" s="243">
        <f t="shared" si="128"/>
        <v>140</v>
      </c>
      <c r="B150" s="257"/>
      <c r="C150" s="257" t="s">
        <v>88</v>
      </c>
      <c r="D150" s="341"/>
      <c r="E150" s="293">
        <v>800</v>
      </c>
      <c r="F150" s="294">
        <f>SUM(F145:F149)</f>
        <v>71000</v>
      </c>
      <c r="G150" s="295">
        <f t="shared" ref="G150:Q150" si="138">SUM(G145:G149)</f>
        <v>0</v>
      </c>
      <c r="H150" s="295">
        <f t="shared" si="138"/>
        <v>71000</v>
      </c>
      <c r="I150" s="296">
        <f t="shared" si="138"/>
        <v>0</v>
      </c>
      <c r="J150" s="294">
        <f t="shared" si="138"/>
        <v>0</v>
      </c>
      <c r="K150" s="295">
        <f t="shared" si="138"/>
        <v>0</v>
      </c>
      <c r="L150" s="295">
        <f t="shared" si="138"/>
        <v>0</v>
      </c>
      <c r="M150" s="296">
        <f t="shared" si="138"/>
        <v>0</v>
      </c>
      <c r="N150" s="294">
        <f t="shared" si="138"/>
        <v>71000</v>
      </c>
      <c r="O150" s="295">
        <f t="shared" si="138"/>
        <v>0</v>
      </c>
      <c r="P150" s="295">
        <f t="shared" si="138"/>
        <v>71000</v>
      </c>
      <c r="Q150" s="297">
        <f t="shared" si="138"/>
        <v>0</v>
      </c>
      <c r="R150" s="263">
        <f t="shared" si="136"/>
        <v>1.4434819958109229E-2</v>
      </c>
      <c r="S150" s="263">
        <f t="shared" si="137"/>
        <v>0</v>
      </c>
      <c r="T150" s="408"/>
    </row>
    <row r="151" spans="1:20" ht="15" customHeight="1">
      <c r="A151" s="342">
        <f t="shared" si="128"/>
        <v>141</v>
      </c>
      <c r="B151" s="235" t="s">
        <v>90</v>
      </c>
      <c r="C151" s="235"/>
      <c r="D151" s="236"/>
      <c r="E151" s="237"/>
      <c r="F151" s="299"/>
      <c r="G151" s="300"/>
      <c r="H151" s="300"/>
      <c r="I151" s="240"/>
      <c r="J151" s="299"/>
      <c r="K151" s="300"/>
      <c r="L151" s="300"/>
      <c r="M151" s="301"/>
      <c r="N151" s="299"/>
      <c r="O151" s="300"/>
      <c r="P151" s="300"/>
      <c r="Q151" s="289"/>
      <c r="R151" s="251"/>
      <c r="S151" s="251"/>
      <c r="T151" s="414"/>
    </row>
    <row r="152" spans="1:20" ht="17.25" customHeight="1">
      <c r="A152" s="243">
        <f t="shared" si="128"/>
        <v>142</v>
      </c>
      <c r="B152" s="302"/>
      <c r="C152" s="244" t="s">
        <v>20</v>
      </c>
      <c r="D152" s="231"/>
      <c r="E152" s="245">
        <v>933</v>
      </c>
      <c r="F152" s="290">
        <f>'Qtr 1 Budget'!H152</f>
        <v>0</v>
      </c>
      <c r="G152" s="398"/>
      <c r="H152" s="291">
        <f t="shared" ref="H152:H154" si="139">SUM(F152:G152)</f>
        <v>0</v>
      </c>
      <c r="I152" s="393"/>
      <c r="J152" s="290">
        <f>'Qtr 1 Budget'!L152</f>
        <v>0</v>
      </c>
      <c r="K152" s="398"/>
      <c r="L152" s="291">
        <f t="shared" ref="L152:L154" si="140">SUM(J152:K152)</f>
        <v>0</v>
      </c>
      <c r="M152" s="399"/>
      <c r="N152" s="290">
        <f t="shared" ref="N152:N154" si="141">F152+J152</f>
        <v>0</v>
      </c>
      <c r="O152" s="291">
        <f t="shared" ref="O152:O154" si="142">K152+G152</f>
        <v>0</v>
      </c>
      <c r="P152" s="291">
        <f t="shared" ref="P152:P154" si="143">SUM(N152:O152)</f>
        <v>0</v>
      </c>
      <c r="Q152" s="289">
        <f t="shared" ref="Q152:Q154" si="144">M152+I152</f>
        <v>0</v>
      </c>
      <c r="R152" s="251">
        <f t="shared" ref="R152:R156" si="145">P152/$P$156</f>
        <v>0</v>
      </c>
      <c r="S152" s="251" t="str">
        <f t="shared" ref="S152:S156" si="146">IFERROR(Q152/P152,"")</f>
        <v/>
      </c>
      <c r="T152" s="407"/>
    </row>
    <row r="153" spans="1:20" ht="17.25" customHeight="1">
      <c r="A153" s="243">
        <f t="shared" si="128"/>
        <v>143</v>
      </c>
      <c r="B153" s="302"/>
      <c r="C153" s="244" t="s">
        <v>205</v>
      </c>
      <c r="D153" s="231"/>
      <c r="E153" s="245" t="s">
        <v>126</v>
      </c>
      <c r="F153" s="290">
        <f>'Qtr 1 Budget'!H153</f>
        <v>0</v>
      </c>
      <c r="G153" s="398"/>
      <c r="H153" s="291">
        <f t="shared" si="139"/>
        <v>0</v>
      </c>
      <c r="I153" s="393"/>
      <c r="J153" s="290">
        <f>'Qtr 1 Budget'!L153</f>
        <v>0</v>
      </c>
      <c r="K153" s="398"/>
      <c r="L153" s="291">
        <f t="shared" si="140"/>
        <v>0</v>
      </c>
      <c r="M153" s="399"/>
      <c r="N153" s="290">
        <f t="shared" si="141"/>
        <v>0</v>
      </c>
      <c r="O153" s="291">
        <f t="shared" si="142"/>
        <v>0</v>
      </c>
      <c r="P153" s="291">
        <f t="shared" si="143"/>
        <v>0</v>
      </c>
      <c r="Q153" s="289">
        <f t="shared" si="144"/>
        <v>0</v>
      </c>
      <c r="R153" s="251">
        <f t="shared" si="145"/>
        <v>0</v>
      </c>
      <c r="S153" s="251" t="str">
        <f t="shared" si="146"/>
        <v/>
      </c>
      <c r="T153" s="407"/>
    </row>
    <row r="154" spans="1:20" ht="15" customHeight="1">
      <c r="A154" s="243">
        <f t="shared" si="128"/>
        <v>144</v>
      </c>
      <c r="B154" s="396"/>
      <c r="C154" s="403"/>
      <c r="D154" s="394"/>
      <c r="E154" s="395"/>
      <c r="F154" s="290">
        <f>'Qtr 1 Budget'!H154</f>
        <v>-185000</v>
      </c>
      <c r="G154" s="398"/>
      <c r="H154" s="291">
        <f t="shared" si="139"/>
        <v>-185000</v>
      </c>
      <c r="I154" s="393"/>
      <c r="J154" s="290">
        <f>'Qtr 1 Budget'!L154</f>
        <v>0</v>
      </c>
      <c r="K154" s="398"/>
      <c r="L154" s="291">
        <f t="shared" si="140"/>
        <v>0</v>
      </c>
      <c r="M154" s="399"/>
      <c r="N154" s="290">
        <f t="shared" si="141"/>
        <v>-185000</v>
      </c>
      <c r="O154" s="291">
        <f t="shared" si="142"/>
        <v>0</v>
      </c>
      <c r="P154" s="291">
        <f t="shared" si="143"/>
        <v>-185000</v>
      </c>
      <c r="Q154" s="289">
        <f t="shared" si="144"/>
        <v>0</v>
      </c>
      <c r="R154" s="251">
        <f t="shared" si="145"/>
        <v>-3.761185482042545E-2</v>
      </c>
      <c r="S154" s="251">
        <f t="shared" si="146"/>
        <v>0</v>
      </c>
      <c r="T154" s="407"/>
    </row>
    <row r="155" spans="1:20" ht="21" customHeight="1">
      <c r="A155" s="343">
        <f t="shared" si="128"/>
        <v>145</v>
      </c>
      <c r="B155" s="257"/>
      <c r="C155" s="257" t="s">
        <v>89</v>
      </c>
      <c r="D155" s="258"/>
      <c r="E155" s="293">
        <v>900</v>
      </c>
      <c r="F155" s="294">
        <f>SUM(F152:F154)</f>
        <v>-185000</v>
      </c>
      <c r="G155" s="295">
        <f t="shared" ref="G155:Q155" si="147">SUM(G152:G154)</f>
        <v>0</v>
      </c>
      <c r="H155" s="295">
        <f t="shared" si="147"/>
        <v>-185000</v>
      </c>
      <c r="I155" s="296">
        <f t="shared" si="147"/>
        <v>0</v>
      </c>
      <c r="J155" s="294">
        <f t="shared" si="147"/>
        <v>0</v>
      </c>
      <c r="K155" s="295">
        <f t="shared" si="147"/>
        <v>0</v>
      </c>
      <c r="L155" s="295">
        <f t="shared" si="147"/>
        <v>0</v>
      </c>
      <c r="M155" s="296">
        <f t="shared" si="147"/>
        <v>0</v>
      </c>
      <c r="N155" s="294">
        <f t="shared" si="147"/>
        <v>-185000</v>
      </c>
      <c r="O155" s="295">
        <f t="shared" si="147"/>
        <v>0</v>
      </c>
      <c r="P155" s="295">
        <f t="shared" si="147"/>
        <v>-185000</v>
      </c>
      <c r="Q155" s="297">
        <f t="shared" si="147"/>
        <v>0</v>
      </c>
      <c r="R155" s="344">
        <f t="shared" si="145"/>
        <v>-3.761185482042545E-2</v>
      </c>
      <c r="S155" s="344">
        <f t="shared" si="146"/>
        <v>0</v>
      </c>
      <c r="T155" s="421"/>
    </row>
    <row r="156" spans="1:20" ht="18.75" customHeight="1" thickBot="1">
      <c r="A156" s="220">
        <f t="shared" si="128"/>
        <v>146</v>
      </c>
      <c r="B156" s="189"/>
      <c r="C156" s="189"/>
      <c r="D156" s="200" t="s">
        <v>21</v>
      </c>
      <c r="E156" s="201" t="s">
        <v>22</v>
      </c>
      <c r="F156" s="222">
        <f>F97+F106+F112+F119+F130+F137+F143+F150+F155</f>
        <v>3297031.9719571527</v>
      </c>
      <c r="G156" s="225">
        <f t="shared" ref="G156:Q156" si="148">G97+G106+G112+G119+G130+G137+G143+G150+G155</f>
        <v>0</v>
      </c>
      <c r="H156" s="225">
        <f t="shared" si="148"/>
        <v>3297031.9719571527</v>
      </c>
      <c r="I156" s="193">
        <f t="shared" si="148"/>
        <v>0</v>
      </c>
      <c r="J156" s="222">
        <f t="shared" si="148"/>
        <v>1621630</v>
      </c>
      <c r="K156" s="225">
        <f t="shared" si="148"/>
        <v>0</v>
      </c>
      <c r="L156" s="225">
        <f t="shared" si="148"/>
        <v>1621630</v>
      </c>
      <c r="M156" s="193">
        <f t="shared" si="148"/>
        <v>0</v>
      </c>
      <c r="N156" s="222">
        <f t="shared" si="148"/>
        <v>4918661.9719571527</v>
      </c>
      <c r="O156" s="225">
        <f t="shared" si="148"/>
        <v>0</v>
      </c>
      <c r="P156" s="225">
        <f t="shared" si="148"/>
        <v>4918661.9719571527</v>
      </c>
      <c r="Q156" s="192">
        <f t="shared" si="148"/>
        <v>0</v>
      </c>
      <c r="R156" s="194">
        <f t="shared" si="145"/>
        <v>1</v>
      </c>
      <c r="S156" s="194">
        <f t="shared" si="146"/>
        <v>0</v>
      </c>
      <c r="T156" s="415"/>
    </row>
    <row r="157" spans="1:20" ht="18.75" customHeight="1" thickTop="1" thickBot="1">
      <c r="A157" s="132"/>
      <c r="B157" s="71"/>
      <c r="C157" s="71"/>
      <c r="D157" s="71"/>
      <c r="E157" s="72"/>
      <c r="F157" s="1"/>
      <c r="G157" s="1"/>
      <c r="H157" s="1"/>
      <c r="I157" s="73"/>
      <c r="J157" s="1"/>
      <c r="K157" s="1"/>
      <c r="L157" s="1"/>
      <c r="M157" s="1"/>
      <c r="N157" s="1"/>
      <c r="O157" s="1"/>
      <c r="P157" s="1"/>
      <c r="Q157" s="69"/>
      <c r="R157" s="69"/>
      <c r="S157" s="69"/>
      <c r="T157" s="69"/>
    </row>
    <row r="158" spans="1:20" ht="18.75" customHeight="1" thickTop="1">
      <c r="A158" s="132"/>
      <c r="B158" s="69"/>
      <c r="C158" s="72"/>
      <c r="D158" s="212"/>
      <c r="E158" s="213" t="s">
        <v>105</v>
      </c>
      <c r="F158" s="202">
        <f>F85-F156</f>
        <v>1752.2607350004837</v>
      </c>
      <c r="G158" s="203">
        <f t="shared" ref="G158:Q158" si="149">G85-G156</f>
        <v>0</v>
      </c>
      <c r="H158" s="203">
        <f t="shared" si="149"/>
        <v>1752.2607350004837</v>
      </c>
      <c r="I158" s="203">
        <f t="shared" si="149"/>
        <v>0</v>
      </c>
      <c r="J158" s="203">
        <f t="shared" si="149"/>
        <v>0.27514648460783064</v>
      </c>
      <c r="K158" s="203">
        <f t="shared" si="149"/>
        <v>0</v>
      </c>
      <c r="L158" s="203">
        <f t="shared" si="149"/>
        <v>0.27514648460783064</v>
      </c>
      <c r="M158" s="203">
        <f t="shared" si="149"/>
        <v>0</v>
      </c>
      <c r="N158" s="203">
        <f t="shared" si="149"/>
        <v>1752.5358814848587</v>
      </c>
      <c r="O158" s="203">
        <f t="shared" si="149"/>
        <v>0</v>
      </c>
      <c r="P158" s="203">
        <f t="shared" si="149"/>
        <v>1752.5358814848587</v>
      </c>
      <c r="Q158" s="204">
        <f t="shared" si="149"/>
        <v>0</v>
      </c>
      <c r="R158" s="69"/>
      <c r="S158" s="69"/>
      <c r="T158" s="210" t="s">
        <v>158</v>
      </c>
    </row>
    <row r="159" spans="1:20" ht="18.75" customHeight="1" thickBot="1">
      <c r="A159" s="132"/>
      <c r="B159" s="69"/>
      <c r="C159" s="72"/>
      <c r="D159" s="214"/>
      <c r="E159" s="215" t="s">
        <v>106</v>
      </c>
      <c r="F159" s="205">
        <f>'Qtr 1 Budget'!H159</f>
        <v>2104436.13</v>
      </c>
      <c r="G159" s="38"/>
      <c r="H159" s="38">
        <f>F159</f>
        <v>2104436.13</v>
      </c>
      <c r="I159" s="38"/>
      <c r="J159" s="38">
        <f>'Qtr 1 Budget'!L159</f>
        <v>0</v>
      </c>
      <c r="K159" s="38"/>
      <c r="L159" s="38">
        <f>J159</f>
        <v>0</v>
      </c>
      <c r="M159" s="38"/>
      <c r="N159" s="38">
        <f>F159+J159</f>
        <v>2104436.13</v>
      </c>
      <c r="O159" s="38"/>
      <c r="P159" s="38">
        <f>N159</f>
        <v>2104436.13</v>
      </c>
      <c r="Q159" s="206"/>
      <c r="R159" s="69"/>
      <c r="S159" s="69"/>
      <c r="T159" s="211">
        <f>H160/H85</f>
        <v>0.63847412930555025</v>
      </c>
    </row>
    <row r="160" spans="1:20" ht="15" customHeight="1" thickTop="1" thickBot="1">
      <c r="A160" s="132"/>
      <c r="B160" s="69"/>
      <c r="C160" s="72"/>
      <c r="D160" s="216"/>
      <c r="E160" s="217" t="s">
        <v>107</v>
      </c>
      <c r="F160" s="207">
        <f>SUM(F158:F159)</f>
        <v>2106188.3907350004</v>
      </c>
      <c r="G160" s="208">
        <f t="shared" ref="G160:Q160" si="150">SUM(G158:G159)</f>
        <v>0</v>
      </c>
      <c r="H160" s="208">
        <f t="shared" si="150"/>
        <v>2106188.3907350004</v>
      </c>
      <c r="I160" s="208">
        <f t="shared" si="150"/>
        <v>0</v>
      </c>
      <c r="J160" s="208">
        <f t="shared" si="150"/>
        <v>0.27514648460783064</v>
      </c>
      <c r="K160" s="208">
        <f t="shared" si="150"/>
        <v>0</v>
      </c>
      <c r="L160" s="208">
        <f t="shared" si="150"/>
        <v>0.27514648460783064</v>
      </c>
      <c r="M160" s="208">
        <f t="shared" si="150"/>
        <v>0</v>
      </c>
      <c r="N160" s="208">
        <f t="shared" si="150"/>
        <v>2106188.6658814847</v>
      </c>
      <c r="O160" s="208">
        <f t="shared" si="150"/>
        <v>0</v>
      </c>
      <c r="P160" s="208">
        <f t="shared" si="150"/>
        <v>2106188.6658814847</v>
      </c>
      <c r="Q160" s="209">
        <f t="shared" si="150"/>
        <v>0</v>
      </c>
      <c r="R160" s="69"/>
      <c r="S160" s="69"/>
      <c r="T160" s="69"/>
    </row>
    <row r="161" spans="1:20" ht="15" customHeight="1" thickTop="1">
      <c r="A161" s="70"/>
      <c r="B161" s="69"/>
      <c r="C161" s="72"/>
      <c r="D161" s="74"/>
      <c r="E161" s="81"/>
      <c r="F161" s="82"/>
      <c r="G161" s="82"/>
      <c r="H161" s="82"/>
      <c r="I161" s="82"/>
      <c r="J161" s="82"/>
      <c r="K161" s="82"/>
      <c r="L161" s="82"/>
      <c r="M161" s="82"/>
      <c r="N161" s="82"/>
      <c r="O161" s="82"/>
      <c r="P161" s="82"/>
      <c r="Q161" s="69"/>
      <c r="R161" s="69"/>
      <c r="S161" s="69"/>
      <c r="T161" s="69"/>
    </row>
  </sheetData>
  <mergeCells count="27">
    <mergeCell ref="J1:M1"/>
    <mergeCell ref="R1:S1"/>
    <mergeCell ref="A4:C5"/>
    <mergeCell ref="D4:D5"/>
    <mergeCell ref="B6:D10"/>
    <mergeCell ref="E6:E7"/>
    <mergeCell ref="F6:I7"/>
    <mergeCell ref="J6:M7"/>
    <mergeCell ref="N6:Q7"/>
    <mergeCell ref="E8:E10"/>
    <mergeCell ref="R8:R10"/>
    <mergeCell ref="S8:S10"/>
    <mergeCell ref="T8:T10"/>
    <mergeCell ref="P8:P10"/>
    <mergeCell ref="Q8:Q10"/>
    <mergeCell ref="B86:D86"/>
    <mergeCell ref="L8:L10"/>
    <mergeCell ref="M8:M10"/>
    <mergeCell ref="N8:N10"/>
    <mergeCell ref="O8:O10"/>
    <mergeCell ref="F8:F10"/>
    <mergeCell ref="G8:G10"/>
    <mergeCell ref="H8:H10"/>
    <mergeCell ref="I8:I10"/>
    <mergeCell ref="J8:J10"/>
    <mergeCell ref="K8:K10"/>
    <mergeCell ref="B11:D11"/>
  </mergeCells>
  <printOptions horizontalCentered="1"/>
  <pageMargins left="0" right="0" top="0.5" bottom="0.25" header="0.25" footer="0.15"/>
  <pageSetup paperSize="5" scale="61" orientation="landscape" r:id="rId1"/>
  <headerFooter alignWithMargins="0">
    <oddFooter>&amp;C&amp;"Arial,Regular"&amp;10School System Financial Services&amp;R&amp;"Arial,Regular"&amp;10&amp;P of &amp;N</oddFooter>
  </headerFooter>
  <rowBreaks count="3" manualBreakCount="3">
    <brk id="40" max="19" man="1"/>
    <brk id="85" max="19" man="1"/>
    <brk id="119" max="1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ransitionEvaluation="1" codeName="Sheet9"/>
  <dimension ref="A1:T161"/>
  <sheetViews>
    <sheetView defaultGridColor="0" colorId="22" zoomScale="90" zoomScaleNormal="90" zoomScaleSheetLayoutView="80" workbookViewId="0">
      <pane xSplit="4" ySplit="10" topLeftCell="E11" activePane="bottomRight" state="frozen"/>
      <selection activeCell="O8" sqref="O8:O10"/>
      <selection pane="topRight" activeCell="O8" sqref="O8:O10"/>
      <selection pane="bottomLeft" activeCell="O8" sqref="O8:O10"/>
      <selection pane="bottomRight" activeCell="I3" sqref="I3"/>
    </sheetView>
  </sheetViews>
  <sheetFormatPr defaultColWidth="11.4609375" defaultRowHeight="15.5"/>
  <cols>
    <col min="1" max="1" width="3.23046875" style="133" customWidth="1"/>
    <col min="2" max="2" width="2" style="133" customWidth="1"/>
    <col min="3" max="3" width="2.53515625" style="133" customWidth="1"/>
    <col min="4" max="4" width="43.23046875" style="133" customWidth="1"/>
    <col min="5" max="5" width="11.4609375" style="133" customWidth="1"/>
    <col min="6" max="8" width="12.23046875" style="133" customWidth="1"/>
    <col min="9" max="9" width="12.84375" style="133" customWidth="1"/>
    <col min="10" max="12" width="12.23046875" style="133" customWidth="1"/>
    <col min="13" max="13" width="12.84375" style="133" customWidth="1"/>
    <col min="14" max="16" width="12.23046875" style="133" customWidth="1"/>
    <col min="17" max="17" width="12.84375" style="133" customWidth="1"/>
    <col min="18" max="18" width="8.765625" style="133" customWidth="1"/>
    <col min="19" max="19" width="9.4609375" style="133" customWidth="1"/>
    <col min="20" max="20" width="54.765625" style="133" customWidth="1"/>
    <col min="21" max="16384" width="11.4609375" style="133"/>
  </cols>
  <sheetData>
    <row r="1" spans="1:20" ht="36.75" customHeight="1">
      <c r="A1" s="346"/>
      <c r="B1" s="346"/>
      <c r="C1" s="346"/>
      <c r="D1" s="346"/>
      <c r="E1" s="346"/>
      <c r="F1" s="346"/>
      <c r="G1" s="346"/>
      <c r="H1" s="346"/>
      <c r="I1" s="346"/>
      <c r="J1" s="909" t="s">
        <v>233</v>
      </c>
      <c r="K1" s="909"/>
      <c r="L1" s="909"/>
      <c r="M1" s="909"/>
      <c r="N1" s="346"/>
      <c r="O1" s="346"/>
      <c r="P1" s="346"/>
      <c r="Q1" s="346"/>
      <c r="R1" s="910" t="s">
        <v>129</v>
      </c>
      <c r="S1" s="910"/>
    </row>
    <row r="2" spans="1:20" ht="18" customHeight="1" thickBot="1">
      <c r="A2" s="134"/>
      <c r="B2" s="135"/>
      <c r="C2" s="135"/>
      <c r="D2" s="135"/>
      <c r="E2" s="135"/>
      <c r="F2" s="135"/>
      <c r="G2" s="135"/>
      <c r="H2" s="135"/>
      <c r="I2" s="83"/>
      <c r="J2" s="136" t="s">
        <v>162</v>
      </c>
      <c r="K2" s="137">
        <v>3</v>
      </c>
      <c r="L2" s="136" t="s">
        <v>163</v>
      </c>
      <c r="M2" s="138">
        <v>45382</v>
      </c>
      <c r="N2" s="83"/>
      <c r="O2" s="135"/>
      <c r="P2" s="135"/>
      <c r="Q2" s="135"/>
      <c r="R2" s="347" t="s">
        <v>168</v>
      </c>
      <c r="S2" s="348">
        <f>'Annual Budget '!N4</f>
        <v>250</v>
      </c>
    </row>
    <row r="3" spans="1:20" ht="18" customHeight="1" thickBot="1">
      <c r="A3" s="134"/>
      <c r="B3" s="135"/>
      <c r="C3" s="135"/>
      <c r="D3" s="135"/>
      <c r="E3" s="135"/>
      <c r="F3" s="135"/>
      <c r="G3" s="135"/>
      <c r="H3" s="135"/>
      <c r="I3" s="83"/>
      <c r="J3" s="135"/>
      <c r="K3" s="350"/>
      <c r="L3" s="135"/>
      <c r="M3" s="350"/>
      <c r="N3" s="83"/>
      <c r="O3" s="135"/>
      <c r="P3" s="135"/>
      <c r="Q3" s="135"/>
      <c r="R3" s="81" t="s">
        <v>165</v>
      </c>
      <c r="S3" s="349">
        <f>'Qtr 1 Budget'!S3</f>
        <v>0</v>
      </c>
    </row>
    <row r="4" spans="1:20" ht="18" customHeight="1" thickTop="1">
      <c r="A4" s="924" t="s">
        <v>0</v>
      </c>
      <c r="B4" s="839"/>
      <c r="C4" s="839"/>
      <c r="D4" s="925" t="str">
        <f>'Annual Budget '!D5</f>
        <v>Redesign Dalton</v>
      </c>
      <c r="E4" s="83"/>
      <c r="F4" s="83"/>
      <c r="G4" s="83"/>
      <c r="H4" s="83"/>
      <c r="I4" s="83"/>
      <c r="J4" s="181"/>
      <c r="K4" s="114"/>
      <c r="L4" s="114"/>
      <c r="M4" s="114"/>
      <c r="N4" s="49"/>
      <c r="O4" s="49"/>
      <c r="P4" s="49"/>
      <c r="Q4" s="83"/>
      <c r="R4" s="81" t="s">
        <v>166</v>
      </c>
      <c r="S4" s="349">
        <f>'Qtr 2 Budget'!S4</f>
        <v>0</v>
      </c>
    </row>
    <row r="5" spans="1:20" ht="18" customHeight="1" thickBot="1">
      <c r="A5" s="839"/>
      <c r="B5" s="839"/>
      <c r="C5" s="839"/>
      <c r="D5" s="926"/>
      <c r="E5" s="83"/>
      <c r="F5" s="83"/>
      <c r="G5" s="83"/>
      <c r="H5" s="83"/>
      <c r="I5" s="83"/>
      <c r="J5" s="181"/>
      <c r="K5" s="114"/>
      <c r="L5" s="114"/>
      <c r="M5" s="114"/>
      <c r="N5" s="49"/>
      <c r="O5" s="49"/>
      <c r="P5" s="49"/>
      <c r="Q5" s="83"/>
      <c r="R5" s="347" t="s">
        <v>167</v>
      </c>
      <c r="S5" s="404"/>
    </row>
    <row r="6" spans="1:20" ht="36.75" customHeight="1" thickTop="1" thickBot="1">
      <c r="A6" s="182"/>
      <c r="B6" s="891" t="s">
        <v>1</v>
      </c>
      <c r="C6" s="891"/>
      <c r="D6" s="892"/>
      <c r="E6" s="896" t="s">
        <v>2</v>
      </c>
      <c r="F6" s="915" t="s">
        <v>26</v>
      </c>
      <c r="G6" s="915"/>
      <c r="H6" s="915"/>
      <c r="I6" s="915"/>
      <c r="J6" s="900" t="s">
        <v>194</v>
      </c>
      <c r="K6" s="901"/>
      <c r="L6" s="901"/>
      <c r="M6" s="901"/>
      <c r="N6" s="903" t="s">
        <v>159</v>
      </c>
      <c r="O6" s="903"/>
      <c r="P6" s="903"/>
      <c r="Q6" s="904"/>
      <c r="R6" s="83"/>
    </row>
    <row r="7" spans="1:20" ht="16.5" thickTop="1" thickBot="1">
      <c r="A7" s="183"/>
      <c r="B7" s="868"/>
      <c r="C7" s="868"/>
      <c r="D7" s="893"/>
      <c r="E7" s="896"/>
      <c r="F7" s="916"/>
      <c r="G7" s="916"/>
      <c r="H7" s="916"/>
      <c r="I7" s="916"/>
      <c r="J7" s="902"/>
      <c r="K7" s="902"/>
      <c r="L7" s="902"/>
      <c r="M7" s="902"/>
      <c r="N7" s="905"/>
      <c r="O7" s="905"/>
      <c r="P7" s="905"/>
      <c r="Q7" s="906"/>
      <c r="R7" s="83"/>
      <c r="S7" s="83"/>
      <c r="T7" s="83"/>
    </row>
    <row r="8" spans="1:20" ht="16.5" customHeight="1" thickTop="1" thickBot="1">
      <c r="A8" s="183"/>
      <c r="B8" s="868"/>
      <c r="C8" s="868"/>
      <c r="D8" s="893"/>
      <c r="E8" s="897" t="s">
        <v>93</v>
      </c>
      <c r="F8" s="937" t="s">
        <v>170</v>
      </c>
      <c r="G8" s="887" t="s">
        <v>212</v>
      </c>
      <c r="H8" s="935" t="s">
        <v>171</v>
      </c>
      <c r="I8" s="913" t="s">
        <v>193</v>
      </c>
      <c r="J8" s="937" t="s">
        <v>170</v>
      </c>
      <c r="K8" s="887" t="s">
        <v>212</v>
      </c>
      <c r="L8" s="935" t="s">
        <v>171</v>
      </c>
      <c r="M8" s="913" t="s">
        <v>193</v>
      </c>
      <c r="N8" s="937" t="s">
        <v>170</v>
      </c>
      <c r="O8" s="887" t="s">
        <v>212</v>
      </c>
      <c r="P8" s="933" t="s">
        <v>171</v>
      </c>
      <c r="Q8" s="917" t="s">
        <v>193</v>
      </c>
      <c r="R8" s="919" t="s">
        <v>70</v>
      </c>
      <c r="S8" s="922" t="s">
        <v>195</v>
      </c>
      <c r="T8" s="880" t="s">
        <v>103</v>
      </c>
    </row>
    <row r="9" spans="1:20" ht="15" customHeight="1" thickTop="1" thickBot="1">
      <c r="A9" s="183"/>
      <c r="B9" s="868"/>
      <c r="C9" s="868"/>
      <c r="D9" s="893"/>
      <c r="E9" s="898"/>
      <c r="F9" s="938" t="s">
        <v>161</v>
      </c>
      <c r="G9" s="888" t="s">
        <v>160</v>
      </c>
      <c r="H9" s="936" t="s">
        <v>161</v>
      </c>
      <c r="I9" s="914"/>
      <c r="J9" s="938" t="s">
        <v>161</v>
      </c>
      <c r="K9" s="888" t="s">
        <v>160</v>
      </c>
      <c r="L9" s="936" t="s">
        <v>161</v>
      </c>
      <c r="M9" s="914"/>
      <c r="N9" s="938" t="s">
        <v>161</v>
      </c>
      <c r="O9" s="888" t="s">
        <v>160</v>
      </c>
      <c r="P9" s="934" t="s">
        <v>161</v>
      </c>
      <c r="Q9" s="918"/>
      <c r="R9" s="920"/>
      <c r="S9" s="853"/>
      <c r="T9" s="881"/>
    </row>
    <row r="10" spans="1:20" ht="30" customHeight="1" thickTop="1" thickBot="1">
      <c r="A10" s="184"/>
      <c r="B10" s="894"/>
      <c r="C10" s="894"/>
      <c r="D10" s="895"/>
      <c r="E10" s="899"/>
      <c r="F10" s="938"/>
      <c r="G10" s="888"/>
      <c r="H10" s="936"/>
      <c r="I10" s="914"/>
      <c r="J10" s="938"/>
      <c r="K10" s="888"/>
      <c r="L10" s="936"/>
      <c r="M10" s="914"/>
      <c r="N10" s="938"/>
      <c r="O10" s="888"/>
      <c r="P10" s="934"/>
      <c r="Q10" s="918"/>
      <c r="R10" s="921"/>
      <c r="S10" s="923"/>
      <c r="T10" s="882"/>
    </row>
    <row r="11" spans="1:20" ht="25.5" customHeight="1" thickTop="1">
      <c r="A11" s="227">
        <v>1</v>
      </c>
      <c r="B11" s="883" t="s">
        <v>91</v>
      </c>
      <c r="C11" s="883"/>
      <c r="D11" s="884"/>
      <c r="E11" s="228"/>
      <c r="F11" s="229"/>
      <c r="G11" s="230"/>
      <c r="H11" s="230"/>
      <c r="I11" s="231"/>
      <c r="J11" s="229"/>
      <c r="K11" s="230"/>
      <c r="L11" s="230"/>
      <c r="M11" s="232"/>
      <c r="N11" s="229"/>
      <c r="O11" s="230"/>
      <c r="P11" s="230"/>
      <c r="Q11" s="233"/>
      <c r="R11" s="228"/>
      <c r="S11" s="228"/>
      <c r="T11" s="405"/>
    </row>
    <row r="12" spans="1:20" ht="18" customHeight="1">
      <c r="A12" s="234">
        <f>A11+1</f>
        <v>2</v>
      </c>
      <c r="B12" s="235" t="s">
        <v>41</v>
      </c>
      <c r="C12" s="235"/>
      <c r="D12" s="236"/>
      <c r="E12" s="237"/>
      <c r="F12" s="238"/>
      <c r="G12" s="239"/>
      <c r="H12" s="239"/>
      <c r="I12" s="240"/>
      <c r="J12" s="238"/>
      <c r="K12" s="239"/>
      <c r="L12" s="239"/>
      <c r="M12" s="241"/>
      <c r="N12" s="238"/>
      <c r="O12" s="239"/>
      <c r="P12" s="239"/>
      <c r="Q12" s="241"/>
      <c r="R12" s="242"/>
      <c r="S12" s="242"/>
      <c r="T12" s="406"/>
    </row>
    <row r="13" spans="1:20">
      <c r="A13" s="243">
        <f>A12+1</f>
        <v>3</v>
      </c>
      <c r="B13" s="244"/>
      <c r="C13" s="244" t="s">
        <v>40</v>
      </c>
      <c r="D13" s="231"/>
      <c r="E13" s="245" t="s">
        <v>118</v>
      </c>
      <c r="F13" s="246">
        <f>'Qtr 2 Budget'!H13</f>
        <v>0</v>
      </c>
      <c r="G13" s="392"/>
      <c r="H13" s="247">
        <f>SUM(F13:G13)</f>
        <v>0</v>
      </c>
      <c r="I13" s="393"/>
      <c r="J13" s="246">
        <f>'Qtr 2 Budget'!L13</f>
        <v>0</v>
      </c>
      <c r="K13" s="392"/>
      <c r="L13" s="247">
        <f>SUM(J13:K13)</f>
        <v>0</v>
      </c>
      <c r="M13" s="393"/>
      <c r="N13" s="249">
        <f>F13+J13</f>
        <v>0</v>
      </c>
      <c r="O13" s="250">
        <f>K13+G13</f>
        <v>0</v>
      </c>
      <c r="P13" s="250">
        <f>SUM(N13:O13)</f>
        <v>0</v>
      </c>
      <c r="Q13" s="240">
        <f>M13+I13</f>
        <v>0</v>
      </c>
      <c r="R13" s="251">
        <f t="shared" ref="R13:R22" si="0">P13/$P$85</f>
        <v>0</v>
      </c>
      <c r="S13" s="252" t="str">
        <f>IFERROR(Q13/P13,"")</f>
        <v/>
      </c>
      <c r="T13" s="407"/>
    </row>
    <row r="14" spans="1:20">
      <c r="A14" s="243">
        <f t="shared" ref="A14:A77" si="1">A13+1</f>
        <v>4</v>
      </c>
      <c r="B14" s="244"/>
      <c r="C14" s="244" t="s">
        <v>108</v>
      </c>
      <c r="D14" s="231"/>
      <c r="E14" s="245" t="s">
        <v>119</v>
      </c>
      <c r="F14" s="253"/>
      <c r="G14" s="254"/>
      <c r="H14" s="254"/>
      <c r="I14" s="255"/>
      <c r="J14" s="246">
        <f>'Qtr 2 Budget'!L14</f>
        <v>0</v>
      </c>
      <c r="K14" s="392"/>
      <c r="L14" s="247">
        <f t="shared" ref="L14:L21" si="2">SUM(J14:K14)</f>
        <v>0</v>
      </c>
      <c r="M14" s="393"/>
      <c r="N14" s="249">
        <f t="shared" ref="N14:N21" si="3">F14+J14</f>
        <v>0</v>
      </c>
      <c r="O14" s="250">
        <f t="shared" ref="O14:O21" si="4">K14+G14</f>
        <v>0</v>
      </c>
      <c r="P14" s="250">
        <f t="shared" ref="P14:P21" si="5">SUM(N14:O14)</f>
        <v>0</v>
      </c>
      <c r="Q14" s="240">
        <f t="shared" ref="Q14:Q21" si="6">M14+I14</f>
        <v>0</v>
      </c>
      <c r="R14" s="251">
        <f t="shared" si="0"/>
        <v>0</v>
      </c>
      <c r="S14" s="252" t="str">
        <f t="shared" ref="S14:S22" si="7">IFERROR(Q14/P14,"")</f>
        <v/>
      </c>
      <c r="T14" s="407"/>
    </row>
    <row r="15" spans="1:20">
      <c r="A15" s="243">
        <f t="shared" si="1"/>
        <v>5</v>
      </c>
      <c r="B15" s="244"/>
      <c r="C15" s="244" t="s">
        <v>42</v>
      </c>
      <c r="D15" s="231"/>
      <c r="E15" s="245">
        <v>1920</v>
      </c>
      <c r="F15" s="246">
        <f>'Qtr 2 Budget'!H15</f>
        <v>0</v>
      </c>
      <c r="G15" s="392"/>
      <c r="H15" s="247">
        <f t="shared" ref="H15:H21" si="8">SUM(F15:G15)</f>
        <v>0</v>
      </c>
      <c r="I15" s="393"/>
      <c r="J15" s="246">
        <f>'Qtr 2 Budget'!L15</f>
        <v>0</v>
      </c>
      <c r="K15" s="392"/>
      <c r="L15" s="247">
        <f t="shared" si="2"/>
        <v>0</v>
      </c>
      <c r="M15" s="393"/>
      <c r="N15" s="249">
        <f t="shared" si="3"/>
        <v>0</v>
      </c>
      <c r="O15" s="250">
        <f t="shared" si="4"/>
        <v>0</v>
      </c>
      <c r="P15" s="250">
        <f t="shared" si="5"/>
        <v>0</v>
      </c>
      <c r="Q15" s="240">
        <f t="shared" si="6"/>
        <v>0</v>
      </c>
      <c r="R15" s="251">
        <f t="shared" si="0"/>
        <v>0</v>
      </c>
      <c r="S15" s="252" t="str">
        <f t="shared" si="7"/>
        <v/>
      </c>
      <c r="T15" s="407"/>
    </row>
    <row r="16" spans="1:20">
      <c r="A16" s="243">
        <f t="shared" si="1"/>
        <v>6</v>
      </c>
      <c r="B16" s="244"/>
      <c r="C16" s="244" t="s">
        <v>109</v>
      </c>
      <c r="D16" s="231"/>
      <c r="E16" s="245">
        <v>1993</v>
      </c>
      <c r="F16" s="246">
        <f>'Qtr 2 Budget'!H16</f>
        <v>0</v>
      </c>
      <c r="G16" s="392"/>
      <c r="H16" s="247">
        <f t="shared" si="8"/>
        <v>0</v>
      </c>
      <c r="I16" s="393"/>
      <c r="J16" s="246">
        <f>'Qtr 2 Budget'!L16</f>
        <v>0</v>
      </c>
      <c r="K16" s="392"/>
      <c r="L16" s="247">
        <f t="shared" si="2"/>
        <v>0</v>
      </c>
      <c r="M16" s="393"/>
      <c r="N16" s="249">
        <f t="shared" si="3"/>
        <v>0</v>
      </c>
      <c r="O16" s="250">
        <f t="shared" si="4"/>
        <v>0</v>
      </c>
      <c r="P16" s="250">
        <f t="shared" si="5"/>
        <v>0</v>
      </c>
      <c r="Q16" s="240">
        <f t="shared" si="6"/>
        <v>0</v>
      </c>
      <c r="R16" s="251">
        <f t="shared" si="0"/>
        <v>0</v>
      </c>
      <c r="S16" s="252" t="str">
        <f t="shared" si="7"/>
        <v/>
      </c>
      <c r="T16" s="407"/>
    </row>
    <row r="17" spans="1:20">
      <c r="A17" s="243">
        <f t="shared" si="1"/>
        <v>7</v>
      </c>
      <c r="B17" s="244"/>
      <c r="C17" s="244" t="s">
        <v>130</v>
      </c>
      <c r="D17" s="231"/>
      <c r="E17" s="245">
        <v>1994</v>
      </c>
      <c r="F17" s="246">
        <f>'Qtr 2 Budget'!H17</f>
        <v>1949250</v>
      </c>
      <c r="G17" s="392"/>
      <c r="H17" s="247">
        <f t="shared" si="8"/>
        <v>1949250</v>
      </c>
      <c r="I17" s="393"/>
      <c r="J17" s="253"/>
      <c r="K17" s="254"/>
      <c r="L17" s="254"/>
      <c r="M17" s="255"/>
      <c r="N17" s="249">
        <f t="shared" si="3"/>
        <v>1949250</v>
      </c>
      <c r="O17" s="250">
        <f t="shared" si="4"/>
        <v>0</v>
      </c>
      <c r="P17" s="250">
        <f t="shared" si="5"/>
        <v>1949250</v>
      </c>
      <c r="Q17" s="240">
        <f t="shared" si="6"/>
        <v>0</v>
      </c>
      <c r="R17" s="251">
        <f t="shared" si="0"/>
        <v>0.39615564845089363</v>
      </c>
      <c r="S17" s="252">
        <f t="shared" si="7"/>
        <v>0</v>
      </c>
      <c r="T17" s="407"/>
    </row>
    <row r="18" spans="1:20">
      <c r="A18" s="243">
        <f t="shared" si="1"/>
        <v>8</v>
      </c>
      <c r="B18" s="244"/>
      <c r="C18" s="244" t="s">
        <v>117</v>
      </c>
      <c r="D18" s="231"/>
      <c r="E18" s="245" t="s">
        <v>102</v>
      </c>
      <c r="F18" s="246">
        <f>'Qtr 2 Budget'!H18</f>
        <v>5218</v>
      </c>
      <c r="G18" s="392"/>
      <c r="H18" s="247">
        <f t="shared" si="8"/>
        <v>5218</v>
      </c>
      <c r="I18" s="393"/>
      <c r="J18" s="246">
        <f>'Qtr 2 Budget'!L18</f>
        <v>0</v>
      </c>
      <c r="K18" s="392"/>
      <c r="L18" s="247">
        <f t="shared" si="2"/>
        <v>0</v>
      </c>
      <c r="M18" s="393"/>
      <c r="N18" s="249">
        <f t="shared" si="3"/>
        <v>5218</v>
      </c>
      <c r="O18" s="250">
        <f t="shared" si="4"/>
        <v>0</v>
      </c>
      <c r="P18" s="250">
        <f t="shared" si="5"/>
        <v>5218</v>
      </c>
      <c r="Q18" s="240">
        <f t="shared" si="6"/>
        <v>0</v>
      </c>
      <c r="R18" s="251">
        <f t="shared" si="0"/>
        <v>1.0604797607370849E-3</v>
      </c>
      <c r="S18" s="252">
        <f t="shared" si="7"/>
        <v>0</v>
      </c>
      <c r="T18" s="407"/>
    </row>
    <row r="19" spans="1:20">
      <c r="A19" s="243">
        <f t="shared" si="1"/>
        <v>9</v>
      </c>
      <c r="B19" s="396"/>
      <c r="C19" s="396" t="s">
        <v>181</v>
      </c>
      <c r="D19" s="394"/>
      <c r="E19" s="395"/>
      <c r="F19" s="246">
        <f>'Qtr 2 Budget'!H19</f>
        <v>0</v>
      </c>
      <c r="G19" s="392"/>
      <c r="H19" s="247">
        <f t="shared" si="8"/>
        <v>0</v>
      </c>
      <c r="I19" s="393"/>
      <c r="J19" s="246">
        <f>'Qtr 2 Budget'!L19</f>
        <v>0</v>
      </c>
      <c r="K19" s="392"/>
      <c r="L19" s="247">
        <f t="shared" si="2"/>
        <v>0</v>
      </c>
      <c r="M19" s="393"/>
      <c r="N19" s="249">
        <f t="shared" si="3"/>
        <v>0</v>
      </c>
      <c r="O19" s="250">
        <f t="shared" si="4"/>
        <v>0</v>
      </c>
      <c r="P19" s="250">
        <f t="shared" si="5"/>
        <v>0</v>
      </c>
      <c r="Q19" s="240">
        <f t="shared" si="6"/>
        <v>0</v>
      </c>
      <c r="R19" s="251">
        <f t="shared" si="0"/>
        <v>0</v>
      </c>
      <c r="S19" s="252" t="str">
        <f t="shared" si="7"/>
        <v/>
      </c>
      <c r="T19" s="407"/>
    </row>
    <row r="20" spans="1:20">
      <c r="A20" s="243">
        <f t="shared" si="1"/>
        <v>10</v>
      </c>
      <c r="B20" s="396"/>
      <c r="C20" s="396" t="s">
        <v>181</v>
      </c>
      <c r="D20" s="394"/>
      <c r="E20" s="395"/>
      <c r="F20" s="246">
        <f>'Qtr 2 Budget'!H20</f>
        <v>0</v>
      </c>
      <c r="G20" s="392"/>
      <c r="H20" s="247">
        <f t="shared" si="8"/>
        <v>0</v>
      </c>
      <c r="I20" s="393"/>
      <c r="J20" s="246">
        <f>'Qtr 2 Budget'!L20</f>
        <v>0</v>
      </c>
      <c r="K20" s="392"/>
      <c r="L20" s="247">
        <f t="shared" si="2"/>
        <v>0</v>
      </c>
      <c r="M20" s="393"/>
      <c r="N20" s="249">
        <f t="shared" si="3"/>
        <v>0</v>
      </c>
      <c r="O20" s="250">
        <f t="shared" si="4"/>
        <v>0</v>
      </c>
      <c r="P20" s="250">
        <f t="shared" si="5"/>
        <v>0</v>
      </c>
      <c r="Q20" s="240">
        <f t="shared" si="6"/>
        <v>0</v>
      </c>
      <c r="R20" s="251">
        <f t="shared" si="0"/>
        <v>0</v>
      </c>
      <c r="S20" s="252" t="str">
        <f t="shared" si="7"/>
        <v/>
      </c>
      <c r="T20" s="407"/>
    </row>
    <row r="21" spans="1:20">
      <c r="A21" s="243">
        <f t="shared" si="1"/>
        <v>11</v>
      </c>
      <c r="B21" s="396"/>
      <c r="C21" s="396" t="s">
        <v>181</v>
      </c>
      <c r="D21" s="394"/>
      <c r="E21" s="395"/>
      <c r="F21" s="246">
        <f>'Qtr 2 Budget'!H21</f>
        <v>0</v>
      </c>
      <c r="G21" s="392"/>
      <c r="H21" s="247">
        <f t="shared" si="8"/>
        <v>0</v>
      </c>
      <c r="I21" s="393"/>
      <c r="J21" s="246">
        <f>'Qtr 2 Budget'!L21</f>
        <v>0</v>
      </c>
      <c r="K21" s="392"/>
      <c r="L21" s="247">
        <f t="shared" si="2"/>
        <v>0</v>
      </c>
      <c r="M21" s="393"/>
      <c r="N21" s="249">
        <f t="shared" si="3"/>
        <v>0</v>
      </c>
      <c r="O21" s="250">
        <f t="shared" si="4"/>
        <v>0</v>
      </c>
      <c r="P21" s="250">
        <f t="shared" si="5"/>
        <v>0</v>
      </c>
      <c r="Q21" s="240">
        <f t="shared" si="6"/>
        <v>0</v>
      </c>
      <c r="R21" s="251">
        <f t="shared" si="0"/>
        <v>0</v>
      </c>
      <c r="S21" s="252" t="str">
        <f t="shared" si="7"/>
        <v/>
      </c>
      <c r="T21" s="407"/>
    </row>
    <row r="22" spans="1:20" ht="18" customHeight="1">
      <c r="A22" s="256">
        <f t="shared" si="1"/>
        <v>12</v>
      </c>
      <c r="B22" s="257" t="s">
        <v>43</v>
      </c>
      <c r="C22" s="257"/>
      <c r="D22" s="258"/>
      <c r="E22" s="259"/>
      <c r="F22" s="260">
        <f>SUM(F13:F21)</f>
        <v>1954468</v>
      </c>
      <c r="G22" s="261">
        <f t="shared" ref="G22:Q22" si="9">SUM(G13:G21)</f>
        <v>0</v>
      </c>
      <c r="H22" s="261">
        <f t="shared" si="9"/>
        <v>1954468</v>
      </c>
      <c r="I22" s="262">
        <f t="shared" si="9"/>
        <v>0</v>
      </c>
      <c r="J22" s="260">
        <f t="shared" si="9"/>
        <v>0</v>
      </c>
      <c r="K22" s="261">
        <f t="shared" si="9"/>
        <v>0</v>
      </c>
      <c r="L22" s="261">
        <f t="shared" si="9"/>
        <v>0</v>
      </c>
      <c r="M22" s="262">
        <f t="shared" si="9"/>
        <v>0</v>
      </c>
      <c r="N22" s="260">
        <f t="shared" si="9"/>
        <v>1954468</v>
      </c>
      <c r="O22" s="261">
        <f t="shared" si="9"/>
        <v>0</v>
      </c>
      <c r="P22" s="261">
        <f t="shared" si="9"/>
        <v>1954468</v>
      </c>
      <c r="Q22" s="262">
        <f t="shared" si="9"/>
        <v>0</v>
      </c>
      <c r="R22" s="263">
        <f t="shared" si="0"/>
        <v>0.39721612821163071</v>
      </c>
      <c r="S22" s="263">
        <f t="shared" si="7"/>
        <v>0</v>
      </c>
      <c r="T22" s="408"/>
    </row>
    <row r="23" spans="1:20">
      <c r="A23" s="243">
        <f t="shared" si="1"/>
        <v>13</v>
      </c>
      <c r="B23" s="244"/>
      <c r="C23" s="244"/>
      <c r="D23" s="231"/>
      <c r="E23" s="264"/>
      <c r="F23" s="246"/>
      <c r="G23" s="247"/>
      <c r="H23" s="247"/>
      <c r="I23" s="248"/>
      <c r="J23" s="246"/>
      <c r="K23" s="247"/>
      <c r="L23" s="247"/>
      <c r="M23" s="248"/>
      <c r="N23" s="246"/>
      <c r="O23" s="247"/>
      <c r="P23" s="247"/>
      <c r="Q23" s="248"/>
      <c r="R23" s="265"/>
      <c r="S23" s="265"/>
      <c r="T23" s="409"/>
    </row>
    <row r="24" spans="1:20" ht="18" customHeight="1">
      <c r="A24" s="234">
        <f t="shared" si="1"/>
        <v>14</v>
      </c>
      <c r="B24" s="235" t="s">
        <v>44</v>
      </c>
      <c r="C24" s="235"/>
      <c r="D24" s="236"/>
      <c r="E24" s="266"/>
      <c r="F24" s="249"/>
      <c r="G24" s="250"/>
      <c r="H24" s="250"/>
      <c r="I24" s="240"/>
      <c r="J24" s="249"/>
      <c r="K24" s="250"/>
      <c r="L24" s="250"/>
      <c r="M24" s="240"/>
      <c r="N24" s="249"/>
      <c r="O24" s="250"/>
      <c r="P24" s="250"/>
      <c r="Q24" s="240"/>
      <c r="R24" s="267"/>
      <c r="S24" s="267"/>
      <c r="T24" s="410"/>
    </row>
    <row r="25" spans="1:20">
      <c r="A25" s="243">
        <f t="shared" si="1"/>
        <v>15</v>
      </c>
      <c r="B25" s="244"/>
      <c r="C25" s="244" t="s">
        <v>45</v>
      </c>
      <c r="D25" s="231"/>
      <c r="E25" s="266"/>
      <c r="F25" s="249"/>
      <c r="G25" s="250"/>
      <c r="H25" s="250"/>
      <c r="I25" s="240"/>
      <c r="J25" s="249"/>
      <c r="K25" s="250"/>
      <c r="L25" s="250"/>
      <c r="M25" s="240"/>
      <c r="N25" s="249"/>
      <c r="O25" s="250"/>
      <c r="P25" s="250"/>
      <c r="Q25" s="240"/>
      <c r="R25" s="267"/>
      <c r="S25" s="267"/>
      <c r="T25" s="410"/>
    </row>
    <row r="26" spans="1:20">
      <c r="A26" s="243">
        <f t="shared" si="1"/>
        <v>16</v>
      </c>
      <c r="B26" s="244"/>
      <c r="C26" s="244"/>
      <c r="D26" s="231" t="s">
        <v>46</v>
      </c>
      <c r="E26" s="245">
        <v>3110</v>
      </c>
      <c r="F26" s="246">
        <f>'Qtr 2 Budget'!H26</f>
        <v>1344316.2326921532</v>
      </c>
      <c r="G26" s="392"/>
      <c r="H26" s="247">
        <f t="shared" ref="H26:H38" si="10">SUM(F26:G26)</f>
        <v>1344316.2326921532</v>
      </c>
      <c r="I26" s="393"/>
      <c r="J26" s="253"/>
      <c r="K26" s="254"/>
      <c r="L26" s="254"/>
      <c r="M26" s="255"/>
      <c r="N26" s="246">
        <f>F26+J26</f>
        <v>1344316.2326921532</v>
      </c>
      <c r="O26" s="247">
        <f>K26+G26</f>
        <v>0</v>
      </c>
      <c r="P26" s="247">
        <f>SUM(N26:O26)</f>
        <v>1344316.2326921532</v>
      </c>
      <c r="Q26" s="240">
        <f>M26+I26</f>
        <v>0</v>
      </c>
      <c r="R26" s="251">
        <f>P26/$P$85</f>
        <v>0.27321198865472479</v>
      </c>
      <c r="S26" s="251">
        <f t="shared" ref="S26:S27" si="11">IFERROR(Q26/P26,"")</f>
        <v>0</v>
      </c>
      <c r="T26" s="407"/>
    </row>
    <row r="27" spans="1:20">
      <c r="A27" s="243">
        <f t="shared" si="1"/>
        <v>17</v>
      </c>
      <c r="B27" s="244"/>
      <c r="C27" s="244"/>
      <c r="D27" s="231" t="s">
        <v>47</v>
      </c>
      <c r="E27" s="245">
        <v>3190</v>
      </c>
      <c r="F27" s="246">
        <f>'Qtr 2 Budget'!H27</f>
        <v>0</v>
      </c>
      <c r="G27" s="392"/>
      <c r="H27" s="247">
        <f t="shared" si="10"/>
        <v>0</v>
      </c>
      <c r="I27" s="393"/>
      <c r="J27" s="246">
        <f>'Qtr 2 Budget'!L27</f>
        <v>0</v>
      </c>
      <c r="K27" s="392"/>
      <c r="L27" s="247">
        <f t="shared" ref="L27" si="12">SUM(J27:K27)</f>
        <v>0</v>
      </c>
      <c r="M27" s="393"/>
      <c r="N27" s="246">
        <f>F27+J27</f>
        <v>0</v>
      </c>
      <c r="O27" s="247">
        <f>K27+G27</f>
        <v>0</v>
      </c>
      <c r="P27" s="247">
        <f>SUM(N27:O27)</f>
        <v>0</v>
      </c>
      <c r="Q27" s="240">
        <f>M27+I27</f>
        <v>0</v>
      </c>
      <c r="R27" s="251">
        <f>P27/$P$85</f>
        <v>0</v>
      </c>
      <c r="S27" s="251" t="str">
        <f t="shared" si="11"/>
        <v/>
      </c>
      <c r="T27" s="407"/>
    </row>
    <row r="28" spans="1:20">
      <c r="A28" s="243">
        <f t="shared" si="1"/>
        <v>18</v>
      </c>
      <c r="B28" s="244"/>
      <c r="C28" s="244" t="s">
        <v>48</v>
      </c>
      <c r="D28" s="231"/>
      <c r="E28" s="237"/>
      <c r="F28" s="249"/>
      <c r="G28" s="250"/>
      <c r="H28" s="250"/>
      <c r="I28" s="240"/>
      <c r="J28" s="249"/>
      <c r="K28" s="250"/>
      <c r="L28" s="250"/>
      <c r="M28" s="240"/>
      <c r="N28" s="249"/>
      <c r="O28" s="250"/>
      <c r="P28" s="250"/>
      <c r="Q28" s="240"/>
      <c r="R28" s="251"/>
      <c r="S28" s="251"/>
      <c r="T28" s="410"/>
    </row>
    <row r="29" spans="1:20">
      <c r="A29" s="243">
        <f t="shared" si="1"/>
        <v>19</v>
      </c>
      <c r="B29" s="244"/>
      <c r="C29" s="244"/>
      <c r="D29" s="231" t="s">
        <v>49</v>
      </c>
      <c r="E29" s="245">
        <v>3220</v>
      </c>
      <c r="F29" s="246">
        <f>'Qtr 2 Budget'!H29</f>
        <v>0</v>
      </c>
      <c r="G29" s="392"/>
      <c r="H29" s="247">
        <f t="shared" si="10"/>
        <v>0</v>
      </c>
      <c r="I29" s="393"/>
      <c r="J29" s="246">
        <f>'Qtr 2 Budget'!L29</f>
        <v>0</v>
      </c>
      <c r="K29" s="392"/>
      <c r="L29" s="247">
        <f t="shared" ref="L29:L38" si="13">SUM(J29:K29)</f>
        <v>0</v>
      </c>
      <c r="M29" s="393"/>
      <c r="N29" s="246">
        <f t="shared" ref="N29:N38" si="14">F29+J29</f>
        <v>0</v>
      </c>
      <c r="O29" s="247">
        <f t="shared" ref="O29:O38" si="15">K29+G29</f>
        <v>0</v>
      </c>
      <c r="P29" s="247">
        <f t="shared" ref="P29:P38" si="16">SUM(N29:O29)</f>
        <v>0</v>
      </c>
      <c r="Q29" s="240">
        <f t="shared" ref="Q29:Q38" si="17">M29+I29</f>
        <v>0</v>
      </c>
      <c r="R29" s="251">
        <f t="shared" ref="R29:R39" si="18">P29/$P$85</f>
        <v>0</v>
      </c>
      <c r="S29" s="251" t="str">
        <f t="shared" ref="S29:S39" si="19">IFERROR(Q29/P29,"")</f>
        <v/>
      </c>
      <c r="T29" s="407"/>
    </row>
    <row r="30" spans="1:20">
      <c r="A30" s="243">
        <f t="shared" si="1"/>
        <v>20</v>
      </c>
      <c r="B30" s="244"/>
      <c r="C30" s="244"/>
      <c r="D30" s="231" t="s">
        <v>50</v>
      </c>
      <c r="E30" s="245">
        <v>3230</v>
      </c>
      <c r="F30" s="246">
        <f>'Qtr 2 Budget'!H30</f>
        <v>0</v>
      </c>
      <c r="G30" s="392"/>
      <c r="H30" s="247">
        <f t="shared" si="10"/>
        <v>0</v>
      </c>
      <c r="I30" s="393"/>
      <c r="J30" s="253"/>
      <c r="K30" s="254"/>
      <c r="L30" s="254"/>
      <c r="M30" s="255"/>
      <c r="N30" s="246">
        <f t="shared" si="14"/>
        <v>0</v>
      </c>
      <c r="O30" s="247">
        <f t="shared" si="15"/>
        <v>0</v>
      </c>
      <c r="P30" s="247">
        <f t="shared" si="16"/>
        <v>0</v>
      </c>
      <c r="Q30" s="240">
        <f t="shared" si="17"/>
        <v>0</v>
      </c>
      <c r="R30" s="251">
        <f t="shared" si="18"/>
        <v>0</v>
      </c>
      <c r="S30" s="251" t="str">
        <f t="shared" si="19"/>
        <v/>
      </c>
      <c r="T30" s="407"/>
    </row>
    <row r="31" spans="1:20">
      <c r="A31" s="243">
        <f t="shared" si="1"/>
        <v>21</v>
      </c>
      <c r="B31" s="244"/>
      <c r="C31" s="244"/>
      <c r="D31" s="231" t="s">
        <v>94</v>
      </c>
      <c r="E31" s="245">
        <v>3290</v>
      </c>
      <c r="F31" s="246">
        <f>'Qtr 2 Budget'!H31</f>
        <v>0</v>
      </c>
      <c r="G31" s="392"/>
      <c r="H31" s="247">
        <f t="shared" si="10"/>
        <v>0</v>
      </c>
      <c r="I31" s="393"/>
      <c r="J31" s="246">
        <f>'Qtr 2 Budget'!L31</f>
        <v>0</v>
      </c>
      <c r="K31" s="392"/>
      <c r="L31" s="247">
        <f t="shared" si="13"/>
        <v>0</v>
      </c>
      <c r="M31" s="393"/>
      <c r="N31" s="246">
        <f t="shared" si="14"/>
        <v>0</v>
      </c>
      <c r="O31" s="247">
        <f t="shared" si="15"/>
        <v>0</v>
      </c>
      <c r="P31" s="247">
        <f t="shared" si="16"/>
        <v>0</v>
      </c>
      <c r="Q31" s="240">
        <f t="shared" si="17"/>
        <v>0</v>
      </c>
      <c r="R31" s="251">
        <f t="shared" si="18"/>
        <v>0</v>
      </c>
      <c r="S31" s="251" t="str">
        <f t="shared" si="19"/>
        <v/>
      </c>
      <c r="T31" s="407"/>
    </row>
    <row r="32" spans="1:20">
      <c r="A32" s="243">
        <f t="shared" si="1"/>
        <v>22</v>
      </c>
      <c r="B32" s="244"/>
      <c r="C32" s="244"/>
      <c r="D32" s="231" t="s">
        <v>164</v>
      </c>
      <c r="E32" s="245">
        <v>3240</v>
      </c>
      <c r="F32" s="246">
        <f>'Qtr 2 Budget'!H32</f>
        <v>0</v>
      </c>
      <c r="G32" s="392"/>
      <c r="H32" s="247">
        <f t="shared" si="10"/>
        <v>0</v>
      </c>
      <c r="I32" s="393"/>
      <c r="J32" s="246">
        <f>'Qtr 2 Budget'!L32</f>
        <v>0</v>
      </c>
      <c r="K32" s="392"/>
      <c r="L32" s="247">
        <f t="shared" si="13"/>
        <v>0</v>
      </c>
      <c r="M32" s="393"/>
      <c r="N32" s="246">
        <f t="shared" si="14"/>
        <v>0</v>
      </c>
      <c r="O32" s="247">
        <f t="shared" si="15"/>
        <v>0</v>
      </c>
      <c r="P32" s="247">
        <f t="shared" si="16"/>
        <v>0</v>
      </c>
      <c r="Q32" s="240">
        <f t="shared" si="17"/>
        <v>0</v>
      </c>
      <c r="R32" s="251">
        <f t="shared" si="18"/>
        <v>0</v>
      </c>
      <c r="S32" s="251" t="str">
        <f t="shared" si="19"/>
        <v/>
      </c>
      <c r="T32" s="407"/>
    </row>
    <row r="33" spans="1:20">
      <c r="A33" s="243">
        <f t="shared" si="1"/>
        <v>23</v>
      </c>
      <c r="B33" s="244"/>
      <c r="C33" s="244"/>
      <c r="D33" s="231" t="s">
        <v>133</v>
      </c>
      <c r="E33" s="245">
        <v>3290</v>
      </c>
      <c r="F33" s="246">
        <f>'Qtr 2 Budget'!H33</f>
        <v>0</v>
      </c>
      <c r="G33" s="392"/>
      <c r="H33" s="247">
        <f t="shared" si="10"/>
        <v>0</v>
      </c>
      <c r="I33" s="393"/>
      <c r="J33" s="246">
        <f>'Qtr 2 Budget'!L33</f>
        <v>0</v>
      </c>
      <c r="K33" s="392"/>
      <c r="L33" s="247">
        <f t="shared" si="13"/>
        <v>0</v>
      </c>
      <c r="M33" s="393"/>
      <c r="N33" s="246">
        <f t="shared" si="14"/>
        <v>0</v>
      </c>
      <c r="O33" s="247">
        <f t="shared" si="15"/>
        <v>0</v>
      </c>
      <c r="P33" s="247">
        <f t="shared" si="16"/>
        <v>0</v>
      </c>
      <c r="Q33" s="240">
        <f t="shared" si="17"/>
        <v>0</v>
      </c>
      <c r="R33" s="251">
        <f t="shared" si="18"/>
        <v>0</v>
      </c>
      <c r="S33" s="251" t="str">
        <f t="shared" si="19"/>
        <v/>
      </c>
      <c r="T33" s="407"/>
    </row>
    <row r="34" spans="1:20">
      <c r="A34" s="243">
        <f t="shared" si="1"/>
        <v>24</v>
      </c>
      <c r="B34" s="244"/>
      <c r="C34" s="244"/>
      <c r="D34" s="231" t="s">
        <v>137</v>
      </c>
      <c r="E34" s="245">
        <v>3290</v>
      </c>
      <c r="F34" s="246">
        <f>'Qtr 2 Budget'!H34</f>
        <v>0</v>
      </c>
      <c r="G34" s="392"/>
      <c r="H34" s="247">
        <f t="shared" si="10"/>
        <v>0</v>
      </c>
      <c r="I34" s="393"/>
      <c r="J34" s="246">
        <f>'Qtr 2 Budget'!L34</f>
        <v>22389.705882352941</v>
      </c>
      <c r="K34" s="392"/>
      <c r="L34" s="247">
        <f t="shared" si="13"/>
        <v>22389.705882352941</v>
      </c>
      <c r="M34" s="393"/>
      <c r="N34" s="246">
        <f t="shared" si="14"/>
        <v>22389.705882352941</v>
      </c>
      <c r="O34" s="247">
        <f t="shared" si="15"/>
        <v>0</v>
      </c>
      <c r="P34" s="247">
        <f t="shared" si="16"/>
        <v>22389.705882352941</v>
      </c>
      <c r="Q34" s="240">
        <f t="shared" si="17"/>
        <v>0</v>
      </c>
      <c r="R34" s="251">
        <f t="shared" si="18"/>
        <v>4.550369861458672E-3</v>
      </c>
      <c r="S34" s="251">
        <f t="shared" si="19"/>
        <v>0</v>
      </c>
      <c r="T34" s="407"/>
    </row>
    <row r="35" spans="1:20">
      <c r="A35" s="243">
        <f t="shared" si="1"/>
        <v>25</v>
      </c>
      <c r="B35" s="396"/>
      <c r="C35" s="396" t="s">
        <v>181</v>
      </c>
      <c r="D35" s="394"/>
      <c r="E35" s="395"/>
      <c r="F35" s="246">
        <f>'Qtr 2 Budget'!H35</f>
        <v>0</v>
      </c>
      <c r="G35" s="392"/>
      <c r="H35" s="247">
        <f t="shared" si="10"/>
        <v>0</v>
      </c>
      <c r="I35" s="393"/>
      <c r="J35" s="246">
        <f>'Qtr 2 Budget'!L35</f>
        <v>0</v>
      </c>
      <c r="K35" s="392"/>
      <c r="L35" s="247">
        <f t="shared" si="13"/>
        <v>0</v>
      </c>
      <c r="M35" s="393"/>
      <c r="N35" s="246">
        <f t="shared" si="14"/>
        <v>0</v>
      </c>
      <c r="O35" s="247">
        <f t="shared" si="15"/>
        <v>0</v>
      </c>
      <c r="P35" s="247">
        <f t="shared" si="16"/>
        <v>0</v>
      </c>
      <c r="Q35" s="240">
        <f t="shared" si="17"/>
        <v>0</v>
      </c>
      <c r="R35" s="251">
        <f t="shared" si="18"/>
        <v>0</v>
      </c>
      <c r="S35" s="251" t="str">
        <f t="shared" si="19"/>
        <v/>
      </c>
      <c r="T35" s="407"/>
    </row>
    <row r="36" spans="1:20">
      <c r="A36" s="243">
        <f t="shared" si="1"/>
        <v>26</v>
      </c>
      <c r="B36" s="396"/>
      <c r="C36" s="396" t="s">
        <v>181</v>
      </c>
      <c r="D36" s="394"/>
      <c r="E36" s="395"/>
      <c r="F36" s="246">
        <f>'Qtr 2 Budget'!H36</f>
        <v>0</v>
      </c>
      <c r="G36" s="392"/>
      <c r="H36" s="247">
        <f t="shared" si="10"/>
        <v>0</v>
      </c>
      <c r="I36" s="393"/>
      <c r="J36" s="246">
        <f>'Qtr 2 Budget'!L36</f>
        <v>0</v>
      </c>
      <c r="K36" s="392"/>
      <c r="L36" s="247">
        <f t="shared" si="13"/>
        <v>0</v>
      </c>
      <c r="M36" s="393"/>
      <c r="N36" s="246">
        <f t="shared" si="14"/>
        <v>0</v>
      </c>
      <c r="O36" s="247">
        <f t="shared" si="15"/>
        <v>0</v>
      </c>
      <c r="P36" s="247">
        <f t="shared" si="16"/>
        <v>0</v>
      </c>
      <c r="Q36" s="240">
        <f t="shared" si="17"/>
        <v>0</v>
      </c>
      <c r="R36" s="251">
        <f t="shared" si="18"/>
        <v>0</v>
      </c>
      <c r="S36" s="251" t="str">
        <f t="shared" si="19"/>
        <v/>
      </c>
      <c r="T36" s="407"/>
    </row>
    <row r="37" spans="1:20">
      <c r="A37" s="243">
        <f t="shared" si="1"/>
        <v>27</v>
      </c>
      <c r="B37" s="396"/>
      <c r="C37" s="396" t="s">
        <v>181</v>
      </c>
      <c r="D37" s="394"/>
      <c r="E37" s="397"/>
      <c r="F37" s="246">
        <f>'Qtr 2 Budget'!H37</f>
        <v>0</v>
      </c>
      <c r="G37" s="392"/>
      <c r="H37" s="247">
        <f t="shared" si="10"/>
        <v>0</v>
      </c>
      <c r="I37" s="393"/>
      <c r="J37" s="246">
        <f>'Qtr 2 Budget'!L37</f>
        <v>0</v>
      </c>
      <c r="K37" s="392"/>
      <c r="L37" s="247">
        <f t="shared" si="13"/>
        <v>0</v>
      </c>
      <c r="M37" s="393"/>
      <c r="N37" s="246">
        <f t="shared" si="14"/>
        <v>0</v>
      </c>
      <c r="O37" s="247">
        <f t="shared" si="15"/>
        <v>0</v>
      </c>
      <c r="P37" s="247">
        <f t="shared" si="16"/>
        <v>0</v>
      </c>
      <c r="Q37" s="240">
        <f t="shared" si="17"/>
        <v>0</v>
      </c>
      <c r="R37" s="251">
        <f t="shared" si="18"/>
        <v>0</v>
      </c>
      <c r="S37" s="251" t="str">
        <f t="shared" si="19"/>
        <v/>
      </c>
      <c r="T37" s="407"/>
    </row>
    <row r="38" spans="1:20">
      <c r="A38" s="243">
        <f t="shared" si="1"/>
        <v>28</v>
      </c>
      <c r="B38" s="396"/>
      <c r="C38" s="396" t="s">
        <v>181</v>
      </c>
      <c r="D38" s="394"/>
      <c r="E38" s="397"/>
      <c r="F38" s="246">
        <f>'Qtr 2 Budget'!H38</f>
        <v>0</v>
      </c>
      <c r="G38" s="392"/>
      <c r="H38" s="247">
        <f t="shared" si="10"/>
        <v>0</v>
      </c>
      <c r="I38" s="393"/>
      <c r="J38" s="246">
        <f>'Qtr 2 Budget'!L38</f>
        <v>0</v>
      </c>
      <c r="K38" s="392"/>
      <c r="L38" s="247">
        <f t="shared" si="13"/>
        <v>0</v>
      </c>
      <c r="M38" s="393"/>
      <c r="N38" s="246">
        <f t="shared" si="14"/>
        <v>0</v>
      </c>
      <c r="O38" s="247">
        <f t="shared" si="15"/>
        <v>0</v>
      </c>
      <c r="P38" s="247">
        <f t="shared" si="16"/>
        <v>0</v>
      </c>
      <c r="Q38" s="240">
        <f t="shared" si="17"/>
        <v>0</v>
      </c>
      <c r="R38" s="251">
        <f t="shared" si="18"/>
        <v>0</v>
      </c>
      <c r="S38" s="251" t="str">
        <f t="shared" si="19"/>
        <v/>
      </c>
      <c r="T38" s="407"/>
    </row>
    <row r="39" spans="1:20" ht="18" customHeight="1">
      <c r="A39" s="256">
        <f t="shared" si="1"/>
        <v>29</v>
      </c>
      <c r="B39" s="257" t="s">
        <v>51</v>
      </c>
      <c r="C39" s="257"/>
      <c r="D39" s="258"/>
      <c r="E39" s="259"/>
      <c r="F39" s="260">
        <f t="shared" ref="F39:Q39" si="20">SUM(F26:F38)</f>
        <v>1344316.2326921532</v>
      </c>
      <c r="G39" s="261">
        <f t="shared" si="20"/>
        <v>0</v>
      </c>
      <c r="H39" s="261">
        <f t="shared" si="20"/>
        <v>1344316.2326921532</v>
      </c>
      <c r="I39" s="262">
        <f t="shared" si="20"/>
        <v>0</v>
      </c>
      <c r="J39" s="260">
        <f t="shared" si="20"/>
        <v>22389.705882352941</v>
      </c>
      <c r="K39" s="261">
        <f t="shared" si="20"/>
        <v>0</v>
      </c>
      <c r="L39" s="261">
        <f t="shared" si="20"/>
        <v>22389.705882352941</v>
      </c>
      <c r="M39" s="262">
        <f t="shared" si="20"/>
        <v>0</v>
      </c>
      <c r="N39" s="260">
        <f t="shared" si="20"/>
        <v>1366705.9385745062</v>
      </c>
      <c r="O39" s="261">
        <f t="shared" si="20"/>
        <v>0</v>
      </c>
      <c r="P39" s="261">
        <f t="shared" si="20"/>
        <v>1366705.9385745062</v>
      </c>
      <c r="Q39" s="262">
        <f t="shared" si="20"/>
        <v>0</v>
      </c>
      <c r="R39" s="263">
        <f t="shared" si="18"/>
        <v>0.27776235851618347</v>
      </c>
      <c r="S39" s="263">
        <f t="shared" si="19"/>
        <v>0</v>
      </c>
      <c r="T39" s="408"/>
    </row>
    <row r="40" spans="1:20" ht="16" thickBot="1">
      <c r="A40" s="218">
        <f t="shared" si="1"/>
        <v>30</v>
      </c>
      <c r="B40" s="185"/>
      <c r="C40" s="185"/>
      <c r="D40" s="186"/>
      <c r="E40" s="187"/>
      <c r="F40" s="221"/>
      <c r="G40" s="224"/>
      <c r="H40" s="224"/>
      <c r="I40" s="186"/>
      <c r="J40" s="221"/>
      <c r="K40" s="224"/>
      <c r="L40" s="224"/>
      <c r="M40" s="186"/>
      <c r="N40" s="221"/>
      <c r="O40" s="224"/>
      <c r="P40" s="224"/>
      <c r="Q40" s="186"/>
      <c r="R40" s="188"/>
      <c r="S40" s="188"/>
      <c r="T40" s="411"/>
    </row>
    <row r="41" spans="1:20" ht="18" customHeight="1" thickTop="1">
      <c r="A41" s="268">
        <f t="shared" si="1"/>
        <v>31</v>
      </c>
      <c r="B41" s="269" t="s">
        <v>52</v>
      </c>
      <c r="C41" s="269"/>
      <c r="D41" s="270"/>
      <c r="E41" s="271"/>
      <c r="F41" s="272"/>
      <c r="G41" s="273"/>
      <c r="H41" s="273"/>
      <c r="I41" s="274"/>
      <c r="J41" s="272"/>
      <c r="K41" s="273"/>
      <c r="L41" s="273"/>
      <c r="M41" s="274"/>
      <c r="N41" s="272"/>
      <c r="O41" s="273"/>
      <c r="P41" s="273"/>
      <c r="Q41" s="274"/>
      <c r="R41" s="275"/>
      <c r="S41" s="275"/>
      <c r="T41" s="412"/>
    </row>
    <row r="42" spans="1:20">
      <c r="A42" s="243">
        <f t="shared" si="1"/>
        <v>32</v>
      </c>
      <c r="B42" s="244"/>
      <c r="C42" s="244" t="s">
        <v>53</v>
      </c>
      <c r="D42" s="231"/>
      <c r="E42" s="266"/>
      <c r="F42" s="238"/>
      <c r="G42" s="239"/>
      <c r="H42" s="239"/>
      <c r="I42" s="241"/>
      <c r="J42" s="238"/>
      <c r="K42" s="239"/>
      <c r="L42" s="239"/>
      <c r="M42" s="241"/>
      <c r="N42" s="238"/>
      <c r="O42" s="239"/>
      <c r="P42" s="239"/>
      <c r="Q42" s="241"/>
      <c r="R42" s="251"/>
      <c r="S42" s="251"/>
      <c r="T42" s="413"/>
    </row>
    <row r="43" spans="1:20">
      <c r="A43" s="243">
        <f t="shared" si="1"/>
        <v>33</v>
      </c>
      <c r="B43" s="244"/>
      <c r="C43" s="244"/>
      <c r="D43" s="231" t="s">
        <v>110</v>
      </c>
      <c r="E43" s="245">
        <v>4110</v>
      </c>
      <c r="F43" s="246">
        <f>'Qtr 2 Budget'!H43</f>
        <v>0</v>
      </c>
      <c r="G43" s="392"/>
      <c r="H43" s="247">
        <f t="shared" ref="H43:H79" si="21">SUM(F43:G43)</f>
        <v>0</v>
      </c>
      <c r="I43" s="393"/>
      <c r="J43" s="253"/>
      <c r="K43" s="254"/>
      <c r="L43" s="254"/>
      <c r="M43" s="255"/>
      <c r="N43" s="246">
        <f t="shared" ref="N43:N44" si="22">F43+J43</f>
        <v>0</v>
      </c>
      <c r="O43" s="247">
        <f t="shared" ref="O43:O44" si="23">K43+G43</f>
        <v>0</v>
      </c>
      <c r="P43" s="247">
        <f t="shared" ref="P43:P44" si="24">SUM(N43:O43)</f>
        <v>0</v>
      </c>
      <c r="Q43" s="240">
        <f t="shared" ref="Q43:Q44" si="25">M43+I43</f>
        <v>0</v>
      </c>
      <c r="R43" s="251">
        <f>P43/$P$85</f>
        <v>0</v>
      </c>
      <c r="S43" s="251" t="str">
        <f t="shared" ref="S43:S44" si="26">IFERROR(Q43/P43,"")</f>
        <v/>
      </c>
      <c r="T43" s="407"/>
    </row>
    <row r="44" spans="1:20">
      <c r="A44" s="243">
        <f t="shared" si="1"/>
        <v>34</v>
      </c>
      <c r="B44" s="244"/>
      <c r="C44" s="244"/>
      <c r="D44" s="231" t="s">
        <v>120</v>
      </c>
      <c r="E44" s="245">
        <v>4190</v>
      </c>
      <c r="F44" s="246">
        <f>'Qtr 2 Budget'!H44</f>
        <v>0</v>
      </c>
      <c r="G44" s="392"/>
      <c r="H44" s="247">
        <f t="shared" si="21"/>
        <v>0</v>
      </c>
      <c r="I44" s="393"/>
      <c r="J44" s="246">
        <f>'Qtr 2 Budget'!L44</f>
        <v>0</v>
      </c>
      <c r="K44" s="392"/>
      <c r="L44" s="247">
        <f t="shared" ref="L44" si="27">SUM(J44:K44)</f>
        <v>0</v>
      </c>
      <c r="M44" s="393"/>
      <c r="N44" s="246">
        <f t="shared" si="22"/>
        <v>0</v>
      </c>
      <c r="O44" s="247">
        <f t="shared" si="23"/>
        <v>0</v>
      </c>
      <c r="P44" s="247">
        <f t="shared" si="24"/>
        <v>0</v>
      </c>
      <c r="Q44" s="240">
        <f t="shared" si="25"/>
        <v>0</v>
      </c>
      <c r="R44" s="251">
        <f>P44/$P$85</f>
        <v>0</v>
      </c>
      <c r="S44" s="251" t="str">
        <f t="shared" si="26"/>
        <v/>
      </c>
      <c r="T44" s="407"/>
    </row>
    <row r="45" spans="1:20">
      <c r="A45" s="243">
        <f t="shared" si="1"/>
        <v>35</v>
      </c>
      <c r="B45" s="244"/>
      <c r="C45" s="244" t="s">
        <v>54</v>
      </c>
      <c r="D45" s="231"/>
      <c r="E45" s="237"/>
      <c r="F45" s="249"/>
      <c r="G45" s="250"/>
      <c r="H45" s="250"/>
      <c r="I45" s="240"/>
      <c r="J45" s="249"/>
      <c r="K45" s="250"/>
      <c r="L45" s="250"/>
      <c r="M45" s="240"/>
      <c r="N45" s="249"/>
      <c r="O45" s="250"/>
      <c r="P45" s="250"/>
      <c r="Q45" s="240"/>
      <c r="R45" s="251"/>
      <c r="S45" s="251"/>
      <c r="T45" s="414"/>
    </row>
    <row r="46" spans="1:20">
      <c r="A46" s="243">
        <f t="shared" si="1"/>
        <v>36</v>
      </c>
      <c r="B46" s="244"/>
      <c r="C46" s="244"/>
      <c r="D46" s="231" t="s">
        <v>111</v>
      </c>
      <c r="E46" s="245">
        <v>4330</v>
      </c>
      <c r="F46" s="246">
        <f>'Qtr 2 Budget'!H46</f>
        <v>0</v>
      </c>
      <c r="G46" s="392"/>
      <c r="H46" s="247">
        <f t="shared" si="21"/>
        <v>0</v>
      </c>
      <c r="I46" s="393"/>
      <c r="J46" s="246">
        <f>'Qtr 2 Budget'!L46</f>
        <v>0</v>
      </c>
      <c r="K46" s="392"/>
      <c r="L46" s="247">
        <f t="shared" ref="L46" si="28">SUM(J46:K46)</f>
        <v>0</v>
      </c>
      <c r="M46" s="393"/>
      <c r="N46" s="246">
        <f t="shared" ref="N46:N47" si="29">F46+J46</f>
        <v>0</v>
      </c>
      <c r="O46" s="247">
        <f t="shared" ref="O46:O47" si="30">K46+G46</f>
        <v>0</v>
      </c>
      <c r="P46" s="247">
        <f t="shared" ref="P46:P47" si="31">SUM(N46:O46)</f>
        <v>0</v>
      </c>
      <c r="Q46" s="240">
        <f t="shared" ref="Q46:Q47" si="32">M46+I46</f>
        <v>0</v>
      </c>
      <c r="R46" s="251">
        <f>P46/$P$85</f>
        <v>0</v>
      </c>
      <c r="S46" s="251" t="str">
        <f t="shared" ref="S46:S48" si="33">IFERROR(Q46/P46,"")</f>
        <v/>
      </c>
      <c r="T46" s="414"/>
    </row>
    <row r="47" spans="1:20">
      <c r="A47" s="243">
        <f t="shared" si="1"/>
        <v>37</v>
      </c>
      <c r="B47" s="244"/>
      <c r="C47" s="244"/>
      <c r="D47" s="231" t="s">
        <v>55</v>
      </c>
      <c r="E47" s="245">
        <v>4390</v>
      </c>
      <c r="F47" s="246">
        <f>'Qtr 2 Budget'!H47</f>
        <v>0</v>
      </c>
      <c r="G47" s="392"/>
      <c r="H47" s="247">
        <f t="shared" si="21"/>
        <v>0</v>
      </c>
      <c r="I47" s="393"/>
      <c r="J47" s="253"/>
      <c r="K47" s="254"/>
      <c r="L47" s="254"/>
      <c r="M47" s="255"/>
      <c r="N47" s="246">
        <f t="shared" si="29"/>
        <v>0</v>
      </c>
      <c r="O47" s="247">
        <f t="shared" si="30"/>
        <v>0</v>
      </c>
      <c r="P47" s="247">
        <f t="shared" si="31"/>
        <v>0</v>
      </c>
      <c r="Q47" s="240">
        <f t="shared" si="32"/>
        <v>0</v>
      </c>
      <c r="R47" s="251">
        <f>P47/$P$85</f>
        <v>0</v>
      </c>
      <c r="S47" s="251" t="str">
        <f t="shared" si="33"/>
        <v/>
      </c>
      <c r="T47" s="407"/>
    </row>
    <row r="48" spans="1:20">
      <c r="A48" s="243">
        <f t="shared" si="1"/>
        <v>38</v>
      </c>
      <c r="B48" s="244"/>
      <c r="C48" s="244"/>
      <c r="D48" s="231"/>
      <c r="E48" s="245"/>
      <c r="F48" s="246">
        <f>'Qtr 2 Budget'!H48</f>
        <v>0</v>
      </c>
      <c r="G48" s="392"/>
      <c r="H48" s="247">
        <f t="shared" si="21"/>
        <v>0</v>
      </c>
      <c r="I48" s="393"/>
      <c r="J48" s="246">
        <f>'Qtr 2 Budget'!L48</f>
        <v>0</v>
      </c>
      <c r="K48" s="392"/>
      <c r="L48" s="247">
        <f t="shared" ref="L48:L51" si="34">SUM(J48:K48)</f>
        <v>0</v>
      </c>
      <c r="M48" s="393"/>
      <c r="N48" s="246">
        <f>F48+J48</f>
        <v>0</v>
      </c>
      <c r="O48" s="247">
        <f>K48+G48</f>
        <v>0</v>
      </c>
      <c r="P48" s="247">
        <f>SUM(N48:O48)</f>
        <v>0</v>
      </c>
      <c r="Q48" s="240">
        <f>M48+I48</f>
        <v>0</v>
      </c>
      <c r="R48" s="251">
        <f>P48/$P$85</f>
        <v>0</v>
      </c>
      <c r="S48" s="251" t="str">
        <f t="shared" si="33"/>
        <v/>
      </c>
      <c r="T48" s="407"/>
    </row>
    <row r="49" spans="1:20">
      <c r="A49" s="243">
        <f t="shared" si="1"/>
        <v>39</v>
      </c>
      <c r="B49" s="244" t="s">
        <v>56</v>
      </c>
      <c r="C49" s="244"/>
      <c r="D49" s="231"/>
      <c r="E49" s="237"/>
      <c r="F49" s="249"/>
      <c r="G49" s="250"/>
      <c r="H49" s="250"/>
      <c r="I49" s="240"/>
      <c r="J49" s="249"/>
      <c r="K49" s="250"/>
      <c r="L49" s="250"/>
      <c r="M49" s="240"/>
      <c r="N49" s="249"/>
      <c r="O49" s="250"/>
      <c r="P49" s="250"/>
      <c r="Q49" s="240"/>
      <c r="R49" s="251"/>
      <c r="S49" s="251"/>
      <c r="T49" s="414"/>
    </row>
    <row r="50" spans="1:20">
      <c r="A50" s="243">
        <f t="shared" si="1"/>
        <v>40</v>
      </c>
      <c r="B50" s="244"/>
      <c r="C50" s="244"/>
      <c r="D50" s="231" t="s">
        <v>112</v>
      </c>
      <c r="E50" s="245">
        <v>4510</v>
      </c>
      <c r="F50" s="249"/>
      <c r="G50" s="250"/>
      <c r="H50" s="250"/>
      <c r="I50" s="240"/>
      <c r="J50" s="246">
        <f>'Qtr 2 Budget'!L50</f>
        <v>0</v>
      </c>
      <c r="K50" s="392"/>
      <c r="L50" s="247">
        <f t="shared" si="34"/>
        <v>0</v>
      </c>
      <c r="M50" s="393"/>
      <c r="N50" s="246">
        <f t="shared" ref="N50:N51" si="35">F50+J50</f>
        <v>0</v>
      </c>
      <c r="O50" s="247">
        <f t="shared" ref="O50:O51" si="36">K50+G50</f>
        <v>0</v>
      </c>
      <c r="P50" s="247">
        <f t="shared" ref="P50:P51" si="37">SUM(N50:O50)</f>
        <v>0</v>
      </c>
      <c r="Q50" s="240">
        <f t="shared" ref="Q50:Q51" si="38">M50+I50</f>
        <v>0</v>
      </c>
      <c r="R50" s="251">
        <f>P50/$P$85</f>
        <v>0</v>
      </c>
      <c r="S50" s="251" t="str">
        <f t="shared" ref="S50:S51" si="39">IFERROR(Q50/P50,"")</f>
        <v/>
      </c>
      <c r="T50" s="407"/>
    </row>
    <row r="51" spans="1:20">
      <c r="A51" s="243">
        <f t="shared" si="1"/>
        <v>41</v>
      </c>
      <c r="B51" s="244"/>
      <c r="C51" s="244"/>
      <c r="D51" s="231" t="s">
        <v>3</v>
      </c>
      <c r="E51" s="245">
        <v>4515</v>
      </c>
      <c r="F51" s="249"/>
      <c r="G51" s="250"/>
      <c r="H51" s="250"/>
      <c r="I51" s="240"/>
      <c r="J51" s="246">
        <f>'Qtr 2 Budget'!L51</f>
        <v>250155.56926413145</v>
      </c>
      <c r="K51" s="392"/>
      <c r="L51" s="247">
        <f t="shared" si="34"/>
        <v>250155.56926413145</v>
      </c>
      <c r="M51" s="393"/>
      <c r="N51" s="246">
        <f t="shared" si="35"/>
        <v>250155.56926413145</v>
      </c>
      <c r="O51" s="247">
        <f t="shared" si="36"/>
        <v>0</v>
      </c>
      <c r="P51" s="247">
        <f t="shared" si="37"/>
        <v>250155.56926413145</v>
      </c>
      <c r="Q51" s="240">
        <f t="shared" si="38"/>
        <v>0</v>
      </c>
      <c r="R51" s="251">
        <f>P51/$P$85</f>
        <v>5.0840344622513495E-2</v>
      </c>
      <c r="S51" s="251">
        <f t="shared" si="39"/>
        <v>0</v>
      </c>
      <c r="T51" s="407"/>
    </row>
    <row r="52" spans="1:20">
      <c r="A52" s="243">
        <f t="shared" si="1"/>
        <v>42</v>
      </c>
      <c r="B52" s="244"/>
      <c r="C52" s="244"/>
      <c r="D52" s="231" t="s">
        <v>4</v>
      </c>
      <c r="E52" s="237"/>
      <c r="F52" s="249"/>
      <c r="G52" s="250"/>
      <c r="H52" s="250"/>
      <c r="I52" s="240"/>
      <c r="J52" s="249"/>
      <c r="K52" s="250"/>
      <c r="L52" s="250"/>
      <c r="M52" s="240"/>
      <c r="N52" s="249"/>
      <c r="O52" s="250"/>
      <c r="P52" s="250"/>
      <c r="Q52" s="240"/>
      <c r="R52" s="251"/>
      <c r="S52" s="251"/>
      <c r="T52" s="414"/>
    </row>
    <row r="53" spans="1:20">
      <c r="A53" s="243">
        <f t="shared" si="1"/>
        <v>43</v>
      </c>
      <c r="B53" s="244"/>
      <c r="C53" s="244"/>
      <c r="D53" s="231" t="s">
        <v>57</v>
      </c>
      <c r="E53" s="245" t="s">
        <v>58</v>
      </c>
      <c r="F53" s="249"/>
      <c r="G53" s="250"/>
      <c r="H53" s="250"/>
      <c r="I53" s="240"/>
      <c r="J53" s="246">
        <f>'Qtr 2 Budget'!L53</f>
        <v>51007</v>
      </c>
      <c r="K53" s="392"/>
      <c r="L53" s="247">
        <f t="shared" ref="L53:L56" si="40">SUM(J53:K53)</f>
        <v>51007</v>
      </c>
      <c r="M53" s="393"/>
      <c r="N53" s="246">
        <f t="shared" ref="N53:N56" si="41">F53+J53</f>
        <v>51007</v>
      </c>
      <c r="O53" s="247">
        <f t="shared" ref="O53:O56" si="42">K53+G53</f>
        <v>0</v>
      </c>
      <c r="P53" s="247">
        <f t="shared" ref="P53:P56" si="43">SUM(N53:O53)</f>
        <v>51007</v>
      </c>
      <c r="Q53" s="240">
        <f t="shared" ref="Q53:Q56" si="44">M53+I53</f>
        <v>0</v>
      </c>
      <c r="R53" s="251">
        <f>P53/$P$85</f>
        <v>1.0366403057860577E-2</v>
      </c>
      <c r="S53" s="251">
        <f t="shared" ref="S53:S56" si="45">IFERROR(Q53/P53,"")</f>
        <v>0</v>
      </c>
      <c r="T53" s="407"/>
    </row>
    <row r="54" spans="1:20">
      <c r="A54" s="243">
        <f t="shared" si="1"/>
        <v>44</v>
      </c>
      <c r="B54" s="244"/>
      <c r="C54" s="244"/>
      <c r="D54" s="231" t="s">
        <v>59</v>
      </c>
      <c r="E54" s="245" t="s">
        <v>60</v>
      </c>
      <c r="F54" s="249"/>
      <c r="G54" s="250"/>
      <c r="H54" s="250"/>
      <c r="I54" s="240"/>
      <c r="J54" s="246">
        <f>'Qtr 2 Budget'!L54</f>
        <v>3000</v>
      </c>
      <c r="K54" s="392"/>
      <c r="L54" s="247">
        <f t="shared" si="40"/>
        <v>3000</v>
      </c>
      <c r="M54" s="393"/>
      <c r="N54" s="246">
        <f t="shared" si="41"/>
        <v>3000</v>
      </c>
      <c r="O54" s="247">
        <f t="shared" si="42"/>
        <v>0</v>
      </c>
      <c r="P54" s="247">
        <f t="shared" si="43"/>
        <v>3000</v>
      </c>
      <c r="Q54" s="240">
        <f t="shared" si="44"/>
        <v>0</v>
      </c>
      <c r="R54" s="251">
        <f>P54/$P$85</f>
        <v>6.0970473020529985E-4</v>
      </c>
      <c r="S54" s="251">
        <f t="shared" si="45"/>
        <v>0</v>
      </c>
      <c r="T54" s="407"/>
    </row>
    <row r="55" spans="1:20">
      <c r="A55" s="243">
        <f t="shared" si="1"/>
        <v>45</v>
      </c>
      <c r="B55" s="244"/>
      <c r="C55" s="244"/>
      <c r="D55" s="231" t="s">
        <v>140</v>
      </c>
      <c r="E55" s="245">
        <v>4535</v>
      </c>
      <c r="F55" s="249"/>
      <c r="G55" s="250"/>
      <c r="H55" s="250"/>
      <c r="I55" s="240"/>
      <c r="J55" s="246">
        <f>'Qtr 2 Budget'!L55</f>
        <v>0</v>
      </c>
      <c r="K55" s="392"/>
      <c r="L55" s="247">
        <f t="shared" si="40"/>
        <v>0</v>
      </c>
      <c r="M55" s="393"/>
      <c r="N55" s="246">
        <f t="shared" si="41"/>
        <v>0</v>
      </c>
      <c r="O55" s="247">
        <f t="shared" si="42"/>
        <v>0</v>
      </c>
      <c r="P55" s="247">
        <f t="shared" si="43"/>
        <v>0</v>
      </c>
      <c r="Q55" s="240">
        <f t="shared" si="44"/>
        <v>0</v>
      </c>
      <c r="R55" s="251">
        <f>P55/$P$85</f>
        <v>0</v>
      </c>
      <c r="S55" s="251" t="str">
        <f t="shared" si="45"/>
        <v/>
      </c>
      <c r="T55" s="407"/>
    </row>
    <row r="56" spans="1:20">
      <c r="A56" s="243">
        <f t="shared" si="1"/>
        <v>46</v>
      </c>
      <c r="B56" s="244"/>
      <c r="C56" s="244"/>
      <c r="D56" s="231" t="s">
        <v>61</v>
      </c>
      <c r="E56" s="245" t="s">
        <v>62</v>
      </c>
      <c r="F56" s="249"/>
      <c r="G56" s="250"/>
      <c r="H56" s="250"/>
      <c r="I56" s="240"/>
      <c r="J56" s="246">
        <f>'Qtr 2 Budget'!L56</f>
        <v>0</v>
      </c>
      <c r="K56" s="392"/>
      <c r="L56" s="247">
        <f t="shared" si="40"/>
        <v>0</v>
      </c>
      <c r="M56" s="393"/>
      <c r="N56" s="246">
        <f t="shared" si="41"/>
        <v>0</v>
      </c>
      <c r="O56" s="247">
        <f t="shared" si="42"/>
        <v>0</v>
      </c>
      <c r="P56" s="247">
        <f t="shared" si="43"/>
        <v>0</v>
      </c>
      <c r="Q56" s="240">
        <f t="shared" si="44"/>
        <v>0</v>
      </c>
      <c r="R56" s="251">
        <f>P56/$P$85</f>
        <v>0</v>
      </c>
      <c r="S56" s="251" t="str">
        <f t="shared" si="45"/>
        <v/>
      </c>
      <c r="T56" s="407"/>
    </row>
    <row r="57" spans="1:20">
      <c r="A57" s="243">
        <f t="shared" si="1"/>
        <v>47</v>
      </c>
      <c r="B57" s="244"/>
      <c r="C57" s="244"/>
      <c r="D57" s="231" t="s">
        <v>138</v>
      </c>
      <c r="E57" s="237"/>
      <c r="F57" s="249"/>
      <c r="G57" s="250"/>
      <c r="H57" s="250"/>
      <c r="I57" s="240"/>
      <c r="J57" s="249"/>
      <c r="K57" s="250"/>
      <c r="L57" s="250"/>
      <c r="M57" s="240"/>
      <c r="N57" s="249"/>
      <c r="O57" s="250"/>
      <c r="P57" s="250"/>
      <c r="Q57" s="240"/>
      <c r="R57" s="251"/>
      <c r="S57" s="251"/>
      <c r="T57" s="414"/>
    </row>
    <row r="58" spans="1:20">
      <c r="A58" s="243">
        <f t="shared" si="1"/>
        <v>48</v>
      </c>
      <c r="B58" s="244"/>
      <c r="C58" s="244"/>
      <c r="D58" s="231" t="s">
        <v>135</v>
      </c>
      <c r="E58" s="245" t="s">
        <v>63</v>
      </c>
      <c r="F58" s="249"/>
      <c r="G58" s="250"/>
      <c r="H58" s="250"/>
      <c r="I58" s="240"/>
      <c r="J58" s="246">
        <f>'Qtr 2 Budget'!L58</f>
        <v>650000</v>
      </c>
      <c r="K58" s="392"/>
      <c r="L58" s="247">
        <f t="shared" ref="L58:L79" si="46">SUM(J58:K58)</f>
        <v>650000</v>
      </c>
      <c r="M58" s="393"/>
      <c r="N58" s="246">
        <f t="shared" ref="N58:N79" si="47">F58+J58</f>
        <v>650000</v>
      </c>
      <c r="O58" s="247">
        <f t="shared" ref="O58:O79" si="48">K58+G58</f>
        <v>0</v>
      </c>
      <c r="P58" s="247">
        <f t="shared" ref="P58:P79" si="49">SUM(N58:O58)</f>
        <v>650000</v>
      </c>
      <c r="Q58" s="240">
        <f t="shared" ref="Q58:Q79" si="50">M58+I58</f>
        <v>0</v>
      </c>
      <c r="R58" s="251">
        <f t="shared" ref="R58:R65" si="51">P58/$P$85</f>
        <v>0.13210269154448165</v>
      </c>
      <c r="S58" s="251">
        <f t="shared" ref="S58:S65" si="52">IFERROR(Q58/P58,"")</f>
        <v>0</v>
      </c>
      <c r="T58" s="407"/>
    </row>
    <row r="59" spans="1:20">
      <c r="A59" s="243">
        <f t="shared" si="1"/>
        <v>49</v>
      </c>
      <c r="B59" s="244"/>
      <c r="C59" s="244"/>
      <c r="D59" s="231" t="s">
        <v>136</v>
      </c>
      <c r="E59" s="245">
        <v>4550</v>
      </c>
      <c r="F59" s="249"/>
      <c r="G59" s="250"/>
      <c r="H59" s="250"/>
      <c r="I59" s="240"/>
      <c r="J59" s="246">
        <f>'Qtr 2 Budget'!L59</f>
        <v>0</v>
      </c>
      <c r="K59" s="392"/>
      <c r="L59" s="247">
        <f t="shared" si="46"/>
        <v>0</v>
      </c>
      <c r="M59" s="393"/>
      <c r="N59" s="246">
        <f t="shared" si="47"/>
        <v>0</v>
      </c>
      <c r="O59" s="247">
        <f t="shared" si="48"/>
        <v>0</v>
      </c>
      <c r="P59" s="247">
        <f t="shared" si="49"/>
        <v>0</v>
      </c>
      <c r="Q59" s="240">
        <f t="shared" si="50"/>
        <v>0</v>
      </c>
      <c r="R59" s="251">
        <f t="shared" si="51"/>
        <v>0</v>
      </c>
      <c r="S59" s="251" t="str">
        <f t="shared" si="52"/>
        <v/>
      </c>
      <c r="T59" s="407"/>
    </row>
    <row r="60" spans="1:20">
      <c r="A60" s="243">
        <f t="shared" si="1"/>
        <v>50</v>
      </c>
      <c r="B60" s="244"/>
      <c r="C60" s="244"/>
      <c r="D60" s="231" t="s">
        <v>64</v>
      </c>
      <c r="E60" s="245" t="s">
        <v>65</v>
      </c>
      <c r="F60" s="249"/>
      <c r="G60" s="250"/>
      <c r="H60" s="250"/>
      <c r="I60" s="240"/>
      <c r="J60" s="246">
        <f>'Qtr 2 Budget'!L60</f>
        <v>0</v>
      </c>
      <c r="K60" s="392"/>
      <c r="L60" s="247">
        <f t="shared" si="46"/>
        <v>0</v>
      </c>
      <c r="M60" s="393"/>
      <c r="N60" s="246">
        <f t="shared" si="47"/>
        <v>0</v>
      </c>
      <c r="O60" s="247">
        <f t="shared" si="48"/>
        <v>0</v>
      </c>
      <c r="P60" s="247">
        <f t="shared" si="49"/>
        <v>0</v>
      </c>
      <c r="Q60" s="240">
        <f t="shared" si="50"/>
        <v>0</v>
      </c>
      <c r="R60" s="251">
        <f t="shared" si="51"/>
        <v>0</v>
      </c>
      <c r="S60" s="251" t="str">
        <f t="shared" si="52"/>
        <v/>
      </c>
      <c r="T60" s="407"/>
    </row>
    <row r="61" spans="1:20">
      <c r="A61" s="243">
        <f t="shared" si="1"/>
        <v>51</v>
      </c>
      <c r="B61" s="244"/>
      <c r="C61" s="244"/>
      <c r="D61" s="231" t="s">
        <v>142</v>
      </c>
      <c r="E61" s="245" t="s">
        <v>66</v>
      </c>
      <c r="F61" s="249"/>
      <c r="G61" s="250"/>
      <c r="H61" s="250"/>
      <c r="I61" s="240"/>
      <c r="J61" s="246">
        <f>'Qtr 2 Budget'!L61</f>
        <v>29006</v>
      </c>
      <c r="K61" s="392"/>
      <c r="L61" s="247">
        <f t="shared" si="46"/>
        <v>29006</v>
      </c>
      <c r="M61" s="393"/>
      <c r="N61" s="246">
        <f t="shared" si="47"/>
        <v>29006</v>
      </c>
      <c r="O61" s="247">
        <f t="shared" si="48"/>
        <v>0</v>
      </c>
      <c r="P61" s="247">
        <f t="shared" si="49"/>
        <v>29006</v>
      </c>
      <c r="Q61" s="240">
        <f t="shared" si="50"/>
        <v>0</v>
      </c>
      <c r="R61" s="251">
        <f t="shared" si="51"/>
        <v>5.8950318014449766E-3</v>
      </c>
      <c r="S61" s="251">
        <f t="shared" si="52"/>
        <v>0</v>
      </c>
      <c r="T61" s="407"/>
    </row>
    <row r="62" spans="1:20">
      <c r="A62" s="243">
        <f t="shared" si="1"/>
        <v>52</v>
      </c>
      <c r="B62" s="244"/>
      <c r="C62" s="244"/>
      <c r="D62" s="231" t="s">
        <v>151</v>
      </c>
      <c r="E62" s="245" t="s">
        <v>67</v>
      </c>
      <c r="F62" s="249"/>
      <c r="G62" s="250"/>
      <c r="H62" s="250"/>
      <c r="I62" s="240"/>
      <c r="J62" s="246">
        <f>'Qtr 2 Budget'!L62</f>
        <v>16072</v>
      </c>
      <c r="K62" s="392"/>
      <c r="L62" s="247">
        <f t="shared" si="46"/>
        <v>16072</v>
      </c>
      <c r="M62" s="393"/>
      <c r="N62" s="246">
        <f t="shared" si="47"/>
        <v>16072</v>
      </c>
      <c r="O62" s="247">
        <f t="shared" si="48"/>
        <v>0</v>
      </c>
      <c r="P62" s="247">
        <f t="shared" si="49"/>
        <v>16072</v>
      </c>
      <c r="Q62" s="240">
        <f t="shared" si="50"/>
        <v>0</v>
      </c>
      <c r="R62" s="251">
        <f t="shared" si="51"/>
        <v>3.2663914746198599E-3</v>
      </c>
      <c r="S62" s="251">
        <f t="shared" si="52"/>
        <v>0</v>
      </c>
      <c r="T62" s="407"/>
    </row>
    <row r="63" spans="1:20">
      <c r="A63" s="243">
        <f t="shared" si="1"/>
        <v>53</v>
      </c>
      <c r="B63" s="244"/>
      <c r="C63" s="244"/>
      <c r="D63" s="231" t="s">
        <v>143</v>
      </c>
      <c r="E63" s="245">
        <v>4559</v>
      </c>
      <c r="F63" s="249"/>
      <c r="G63" s="250"/>
      <c r="H63" s="250"/>
      <c r="I63" s="240"/>
      <c r="J63" s="246">
        <f>'Qtr 2 Budget'!L63</f>
        <v>0</v>
      </c>
      <c r="K63" s="392"/>
      <c r="L63" s="247">
        <f t="shared" si="46"/>
        <v>0</v>
      </c>
      <c r="M63" s="393"/>
      <c r="N63" s="246">
        <f t="shared" si="47"/>
        <v>0</v>
      </c>
      <c r="O63" s="247">
        <f t="shared" si="48"/>
        <v>0</v>
      </c>
      <c r="P63" s="247">
        <f t="shared" si="49"/>
        <v>0</v>
      </c>
      <c r="Q63" s="240">
        <f t="shared" si="50"/>
        <v>0</v>
      </c>
      <c r="R63" s="251">
        <f t="shared" si="51"/>
        <v>0</v>
      </c>
      <c r="S63" s="251" t="str">
        <f t="shared" si="52"/>
        <v/>
      </c>
      <c r="T63" s="407"/>
    </row>
    <row r="64" spans="1:20">
      <c r="A64" s="243">
        <f t="shared" si="1"/>
        <v>54</v>
      </c>
      <c r="B64" s="244"/>
      <c r="C64" s="244"/>
      <c r="D64" s="231" t="s">
        <v>152</v>
      </c>
      <c r="E64" s="245">
        <v>4553</v>
      </c>
      <c r="F64" s="249"/>
      <c r="G64" s="250"/>
      <c r="H64" s="250"/>
      <c r="I64" s="240"/>
      <c r="J64" s="246">
        <f>'Qtr 2 Budget'!L64</f>
        <v>0</v>
      </c>
      <c r="K64" s="392"/>
      <c r="L64" s="247">
        <f t="shared" si="46"/>
        <v>0</v>
      </c>
      <c r="M64" s="393"/>
      <c r="N64" s="246">
        <f t="shared" si="47"/>
        <v>0</v>
      </c>
      <c r="O64" s="247">
        <f t="shared" si="48"/>
        <v>0</v>
      </c>
      <c r="P64" s="247">
        <f t="shared" si="49"/>
        <v>0</v>
      </c>
      <c r="Q64" s="240">
        <f t="shared" si="50"/>
        <v>0</v>
      </c>
      <c r="R64" s="251">
        <f t="shared" si="51"/>
        <v>0</v>
      </c>
      <c r="S64" s="251" t="str">
        <f t="shared" si="52"/>
        <v/>
      </c>
      <c r="T64" s="407"/>
    </row>
    <row r="65" spans="1:20">
      <c r="A65" s="243">
        <f t="shared" si="1"/>
        <v>55</v>
      </c>
      <c r="B65" s="244"/>
      <c r="C65" s="244"/>
      <c r="D65" s="231" t="s">
        <v>141</v>
      </c>
      <c r="E65" s="245">
        <v>4559</v>
      </c>
      <c r="F65" s="249"/>
      <c r="G65" s="250"/>
      <c r="H65" s="250"/>
      <c r="I65" s="240"/>
      <c r="J65" s="246">
        <f>'Qtr 2 Budget'!L65</f>
        <v>0</v>
      </c>
      <c r="K65" s="392"/>
      <c r="L65" s="247">
        <f t="shared" si="46"/>
        <v>0</v>
      </c>
      <c r="M65" s="393"/>
      <c r="N65" s="246">
        <f t="shared" si="47"/>
        <v>0</v>
      </c>
      <c r="O65" s="247">
        <f t="shared" si="48"/>
        <v>0</v>
      </c>
      <c r="P65" s="247">
        <f t="shared" si="49"/>
        <v>0</v>
      </c>
      <c r="Q65" s="240">
        <f t="shared" si="50"/>
        <v>0</v>
      </c>
      <c r="R65" s="251">
        <f t="shared" si="51"/>
        <v>0</v>
      </c>
      <c r="S65" s="251" t="str">
        <f t="shared" si="52"/>
        <v/>
      </c>
      <c r="T65" s="407"/>
    </row>
    <row r="66" spans="1:20">
      <c r="A66" s="243">
        <f t="shared" si="1"/>
        <v>56</v>
      </c>
      <c r="B66" s="244"/>
      <c r="C66" s="244"/>
      <c r="D66" s="231" t="s">
        <v>189</v>
      </c>
      <c r="E66" s="245"/>
      <c r="F66" s="249"/>
      <c r="G66" s="250"/>
      <c r="H66" s="250"/>
      <c r="I66" s="240"/>
      <c r="J66" s="249"/>
      <c r="K66" s="250"/>
      <c r="L66" s="250"/>
      <c r="M66" s="240"/>
      <c r="N66" s="249"/>
      <c r="O66" s="250"/>
      <c r="P66" s="250"/>
      <c r="Q66" s="240"/>
      <c r="R66" s="251"/>
      <c r="S66" s="251"/>
      <c r="T66" s="414"/>
    </row>
    <row r="67" spans="1:20">
      <c r="A67" s="243">
        <f t="shared" si="1"/>
        <v>57</v>
      </c>
      <c r="B67" s="244"/>
      <c r="C67" s="244"/>
      <c r="D67" s="231" t="s">
        <v>153</v>
      </c>
      <c r="E67" s="245">
        <v>4590</v>
      </c>
      <c r="F67" s="249"/>
      <c r="G67" s="250"/>
      <c r="H67" s="250"/>
      <c r="I67" s="240"/>
      <c r="J67" s="246">
        <f>'Qtr 2 Budget'!L67</f>
        <v>0</v>
      </c>
      <c r="K67" s="392"/>
      <c r="L67" s="247">
        <f t="shared" si="46"/>
        <v>0</v>
      </c>
      <c r="M67" s="393"/>
      <c r="N67" s="246">
        <f t="shared" si="47"/>
        <v>0</v>
      </c>
      <c r="O67" s="247">
        <f t="shared" si="48"/>
        <v>0</v>
      </c>
      <c r="P67" s="247">
        <f t="shared" si="49"/>
        <v>0</v>
      </c>
      <c r="Q67" s="240">
        <f t="shared" si="50"/>
        <v>0</v>
      </c>
      <c r="R67" s="251">
        <f t="shared" ref="R67:R80" si="53">P67/$P$85</f>
        <v>0</v>
      </c>
      <c r="S67" s="251" t="str">
        <f t="shared" ref="S67:S79" si="54">IFERROR(Q67/P67,"")</f>
        <v/>
      </c>
      <c r="T67" s="407"/>
    </row>
    <row r="68" spans="1:20">
      <c r="A68" s="243">
        <f t="shared" si="1"/>
        <v>58</v>
      </c>
      <c r="B68" s="244"/>
      <c r="C68" s="244"/>
      <c r="D68" s="231" t="s">
        <v>154</v>
      </c>
      <c r="E68" s="245">
        <v>4590</v>
      </c>
      <c r="F68" s="249"/>
      <c r="G68" s="250"/>
      <c r="H68" s="250"/>
      <c r="I68" s="240"/>
      <c r="J68" s="246">
        <f>'Qtr 2 Budget'!L68</f>
        <v>0</v>
      </c>
      <c r="K68" s="392"/>
      <c r="L68" s="247">
        <f t="shared" si="46"/>
        <v>0</v>
      </c>
      <c r="M68" s="393"/>
      <c r="N68" s="246">
        <f t="shared" si="47"/>
        <v>0</v>
      </c>
      <c r="O68" s="247">
        <f t="shared" si="48"/>
        <v>0</v>
      </c>
      <c r="P68" s="247">
        <f t="shared" si="49"/>
        <v>0</v>
      </c>
      <c r="Q68" s="240">
        <f t="shared" si="50"/>
        <v>0</v>
      </c>
      <c r="R68" s="251">
        <f t="shared" si="53"/>
        <v>0</v>
      </c>
      <c r="S68" s="251" t="str">
        <f t="shared" si="54"/>
        <v/>
      </c>
      <c r="T68" s="407"/>
    </row>
    <row r="69" spans="1:20">
      <c r="A69" s="243">
        <f t="shared" si="1"/>
        <v>59</v>
      </c>
      <c r="B69" s="244"/>
      <c r="C69" s="244"/>
      <c r="D69" s="231" t="s">
        <v>155</v>
      </c>
      <c r="E69" s="245">
        <v>4590</v>
      </c>
      <c r="F69" s="249"/>
      <c r="G69" s="250"/>
      <c r="H69" s="250"/>
      <c r="I69" s="240"/>
      <c r="J69" s="246">
        <f>'Qtr 2 Budget'!L69</f>
        <v>0</v>
      </c>
      <c r="K69" s="392"/>
      <c r="L69" s="247">
        <f t="shared" si="46"/>
        <v>0</v>
      </c>
      <c r="M69" s="393"/>
      <c r="N69" s="246">
        <f t="shared" si="47"/>
        <v>0</v>
      </c>
      <c r="O69" s="247">
        <f t="shared" si="48"/>
        <v>0</v>
      </c>
      <c r="P69" s="247">
        <f t="shared" si="49"/>
        <v>0</v>
      </c>
      <c r="Q69" s="240">
        <f t="shared" si="50"/>
        <v>0</v>
      </c>
      <c r="R69" s="251">
        <f t="shared" si="53"/>
        <v>0</v>
      </c>
      <c r="S69" s="251" t="str">
        <f t="shared" si="54"/>
        <v/>
      </c>
      <c r="T69" s="407"/>
    </row>
    <row r="70" spans="1:20">
      <c r="A70" s="243">
        <f t="shared" si="1"/>
        <v>60</v>
      </c>
      <c r="B70" s="244"/>
      <c r="C70" s="244"/>
      <c r="D70" s="231" t="s">
        <v>156</v>
      </c>
      <c r="E70" s="245">
        <v>4590</v>
      </c>
      <c r="F70" s="249"/>
      <c r="G70" s="250"/>
      <c r="H70" s="250"/>
      <c r="I70" s="240"/>
      <c r="J70" s="246">
        <f>'Qtr 2 Budget'!L70</f>
        <v>600000</v>
      </c>
      <c r="K70" s="392"/>
      <c r="L70" s="247">
        <f t="shared" si="46"/>
        <v>600000</v>
      </c>
      <c r="M70" s="393"/>
      <c r="N70" s="246">
        <f t="shared" si="47"/>
        <v>600000</v>
      </c>
      <c r="O70" s="247">
        <f t="shared" si="48"/>
        <v>0</v>
      </c>
      <c r="P70" s="247">
        <f t="shared" si="49"/>
        <v>600000</v>
      </c>
      <c r="Q70" s="240">
        <f t="shared" si="50"/>
        <v>0</v>
      </c>
      <c r="R70" s="251">
        <f t="shared" si="53"/>
        <v>0.12194094604105998</v>
      </c>
      <c r="S70" s="251">
        <f t="shared" si="54"/>
        <v>0</v>
      </c>
      <c r="T70" s="407"/>
    </row>
    <row r="71" spans="1:20">
      <c r="A71" s="243">
        <f t="shared" si="1"/>
        <v>61</v>
      </c>
      <c r="B71" s="244"/>
      <c r="C71" s="244"/>
      <c r="D71" s="231" t="s">
        <v>157</v>
      </c>
      <c r="E71" s="245">
        <v>4590</v>
      </c>
      <c r="F71" s="249"/>
      <c r="G71" s="250"/>
      <c r="H71" s="250"/>
      <c r="I71" s="240"/>
      <c r="J71" s="246">
        <f>'Qtr 2 Budget'!L71</f>
        <v>0</v>
      </c>
      <c r="K71" s="392"/>
      <c r="L71" s="247">
        <f t="shared" si="46"/>
        <v>0</v>
      </c>
      <c r="M71" s="393"/>
      <c r="N71" s="246">
        <f t="shared" si="47"/>
        <v>0</v>
      </c>
      <c r="O71" s="247">
        <f t="shared" si="48"/>
        <v>0</v>
      </c>
      <c r="P71" s="247">
        <f t="shared" si="49"/>
        <v>0</v>
      </c>
      <c r="Q71" s="240">
        <f t="shared" si="50"/>
        <v>0</v>
      </c>
      <c r="R71" s="251">
        <f t="shared" si="53"/>
        <v>0</v>
      </c>
      <c r="S71" s="251" t="str">
        <f t="shared" si="54"/>
        <v/>
      </c>
      <c r="T71" s="407"/>
    </row>
    <row r="72" spans="1:20">
      <c r="A72" s="243">
        <f t="shared" si="1"/>
        <v>62</v>
      </c>
      <c r="B72" s="244"/>
      <c r="C72" s="244"/>
      <c r="D72" s="231" t="s">
        <v>211</v>
      </c>
      <c r="E72" s="245">
        <v>4590</v>
      </c>
      <c r="F72" s="249"/>
      <c r="G72" s="250"/>
      <c r="H72" s="250"/>
      <c r="I72" s="240"/>
      <c r="J72" s="246">
        <f>'Qtr 2 Budget'!L72</f>
        <v>0</v>
      </c>
      <c r="K72" s="392"/>
      <c r="L72" s="247">
        <f t="shared" si="46"/>
        <v>0</v>
      </c>
      <c r="M72" s="393"/>
      <c r="N72" s="246">
        <f t="shared" si="47"/>
        <v>0</v>
      </c>
      <c r="O72" s="247">
        <f t="shared" si="48"/>
        <v>0</v>
      </c>
      <c r="P72" s="247">
        <f t="shared" si="49"/>
        <v>0</v>
      </c>
      <c r="Q72" s="240">
        <f t="shared" si="50"/>
        <v>0</v>
      </c>
      <c r="R72" s="251">
        <f t="shared" si="53"/>
        <v>0</v>
      </c>
      <c r="S72" s="251" t="str">
        <f t="shared" si="54"/>
        <v/>
      </c>
      <c r="T72" s="407"/>
    </row>
    <row r="73" spans="1:20">
      <c r="A73" s="243">
        <f t="shared" si="1"/>
        <v>63</v>
      </c>
      <c r="B73" s="244"/>
      <c r="C73" s="244"/>
      <c r="D73" s="231" t="s">
        <v>113</v>
      </c>
      <c r="E73" s="245">
        <v>4580</v>
      </c>
      <c r="F73" s="249"/>
      <c r="G73" s="250"/>
      <c r="H73" s="250"/>
      <c r="I73" s="240"/>
      <c r="J73" s="246">
        <f>'Qtr 2 Budget'!L73</f>
        <v>0</v>
      </c>
      <c r="K73" s="392"/>
      <c r="L73" s="247">
        <f t="shared" si="46"/>
        <v>0</v>
      </c>
      <c r="M73" s="393"/>
      <c r="N73" s="246">
        <f t="shared" si="47"/>
        <v>0</v>
      </c>
      <c r="O73" s="247">
        <f t="shared" si="48"/>
        <v>0</v>
      </c>
      <c r="P73" s="247">
        <f t="shared" si="49"/>
        <v>0</v>
      </c>
      <c r="Q73" s="240">
        <f t="shared" si="50"/>
        <v>0</v>
      </c>
      <c r="R73" s="251">
        <f t="shared" si="53"/>
        <v>0</v>
      </c>
      <c r="S73" s="251" t="str">
        <f t="shared" si="54"/>
        <v/>
      </c>
      <c r="T73" s="407"/>
    </row>
    <row r="74" spans="1:20">
      <c r="A74" s="243">
        <f t="shared" si="1"/>
        <v>64</v>
      </c>
      <c r="B74" s="244"/>
      <c r="C74" s="244"/>
      <c r="D74" s="231" t="s">
        <v>190</v>
      </c>
      <c r="E74" s="245" t="s">
        <v>68</v>
      </c>
      <c r="F74" s="249"/>
      <c r="G74" s="250"/>
      <c r="H74" s="250"/>
      <c r="I74" s="240"/>
      <c r="J74" s="246">
        <f>'Qtr 2 Budget'!L74</f>
        <v>0</v>
      </c>
      <c r="K74" s="392"/>
      <c r="L74" s="247">
        <f t="shared" si="46"/>
        <v>0</v>
      </c>
      <c r="M74" s="393"/>
      <c r="N74" s="246">
        <f t="shared" si="47"/>
        <v>0</v>
      </c>
      <c r="O74" s="247">
        <f t="shared" si="48"/>
        <v>0</v>
      </c>
      <c r="P74" s="247">
        <f t="shared" si="49"/>
        <v>0</v>
      </c>
      <c r="Q74" s="240">
        <f t="shared" si="50"/>
        <v>0</v>
      </c>
      <c r="R74" s="251">
        <f t="shared" si="53"/>
        <v>0</v>
      </c>
      <c r="S74" s="251" t="str">
        <f t="shared" si="54"/>
        <v/>
      </c>
      <c r="T74" s="407"/>
    </row>
    <row r="75" spans="1:20">
      <c r="A75" s="243">
        <f t="shared" si="1"/>
        <v>65</v>
      </c>
      <c r="B75" s="244"/>
      <c r="C75" s="244"/>
      <c r="D75" s="231" t="s">
        <v>139</v>
      </c>
      <c r="E75" s="245">
        <v>4590</v>
      </c>
      <c r="F75" s="249"/>
      <c r="G75" s="250"/>
      <c r="H75" s="250"/>
      <c r="I75" s="240"/>
      <c r="J75" s="246">
        <f>'Qtr 2 Budget'!L75</f>
        <v>0</v>
      </c>
      <c r="K75" s="392"/>
      <c r="L75" s="247">
        <f t="shared" si="46"/>
        <v>0</v>
      </c>
      <c r="M75" s="393"/>
      <c r="N75" s="246">
        <f t="shared" si="47"/>
        <v>0</v>
      </c>
      <c r="O75" s="247">
        <f t="shared" si="48"/>
        <v>0</v>
      </c>
      <c r="P75" s="247">
        <f t="shared" si="49"/>
        <v>0</v>
      </c>
      <c r="Q75" s="240">
        <f t="shared" si="50"/>
        <v>0</v>
      </c>
      <c r="R75" s="251">
        <f t="shared" si="53"/>
        <v>0</v>
      </c>
      <c r="S75" s="251" t="str">
        <f t="shared" si="54"/>
        <v/>
      </c>
      <c r="T75" s="407"/>
    </row>
    <row r="76" spans="1:20">
      <c r="A76" s="243">
        <f t="shared" si="1"/>
        <v>66</v>
      </c>
      <c r="B76" s="396"/>
      <c r="C76" s="396" t="s">
        <v>181</v>
      </c>
      <c r="D76" s="394"/>
      <c r="E76" s="395"/>
      <c r="F76" s="246">
        <f>'Qtr 2 Budget'!H76</f>
        <v>0</v>
      </c>
      <c r="G76" s="392"/>
      <c r="H76" s="247">
        <f t="shared" si="21"/>
        <v>0</v>
      </c>
      <c r="I76" s="393"/>
      <c r="J76" s="246">
        <f>'Qtr 2 Budget'!L76</f>
        <v>0</v>
      </c>
      <c r="K76" s="392"/>
      <c r="L76" s="247">
        <f t="shared" si="46"/>
        <v>0</v>
      </c>
      <c r="M76" s="393"/>
      <c r="N76" s="246">
        <f t="shared" si="47"/>
        <v>0</v>
      </c>
      <c r="O76" s="247">
        <f t="shared" si="48"/>
        <v>0</v>
      </c>
      <c r="P76" s="247">
        <f t="shared" si="49"/>
        <v>0</v>
      </c>
      <c r="Q76" s="240">
        <f t="shared" si="50"/>
        <v>0</v>
      </c>
      <c r="R76" s="251">
        <f t="shared" si="53"/>
        <v>0</v>
      </c>
      <c r="S76" s="251" t="str">
        <f t="shared" si="54"/>
        <v/>
      </c>
      <c r="T76" s="407"/>
    </row>
    <row r="77" spans="1:20">
      <c r="A77" s="243">
        <f t="shared" si="1"/>
        <v>67</v>
      </c>
      <c r="B77" s="396"/>
      <c r="C77" s="396" t="s">
        <v>181</v>
      </c>
      <c r="D77" s="394"/>
      <c r="E77" s="395"/>
      <c r="F77" s="246">
        <f>'Qtr 2 Budget'!H77</f>
        <v>0</v>
      </c>
      <c r="G77" s="392"/>
      <c r="H77" s="247">
        <f t="shared" si="21"/>
        <v>0</v>
      </c>
      <c r="I77" s="393"/>
      <c r="J77" s="246">
        <f>'Qtr 2 Budget'!L77</f>
        <v>0</v>
      </c>
      <c r="K77" s="392"/>
      <c r="L77" s="247">
        <f t="shared" si="46"/>
        <v>0</v>
      </c>
      <c r="M77" s="393"/>
      <c r="N77" s="246">
        <f t="shared" si="47"/>
        <v>0</v>
      </c>
      <c r="O77" s="247">
        <f t="shared" si="48"/>
        <v>0</v>
      </c>
      <c r="P77" s="247">
        <f t="shared" si="49"/>
        <v>0</v>
      </c>
      <c r="Q77" s="240">
        <f t="shared" si="50"/>
        <v>0</v>
      </c>
      <c r="R77" s="251">
        <f t="shared" si="53"/>
        <v>0</v>
      </c>
      <c r="S77" s="251" t="str">
        <f t="shared" si="54"/>
        <v/>
      </c>
      <c r="T77" s="407"/>
    </row>
    <row r="78" spans="1:20" ht="14.25" customHeight="1">
      <c r="A78" s="243">
        <f t="shared" ref="A78:A141" si="55">A77+1</f>
        <v>68</v>
      </c>
      <c r="B78" s="396"/>
      <c r="C78" s="396" t="s">
        <v>181</v>
      </c>
      <c r="D78" s="394"/>
      <c r="E78" s="395"/>
      <c r="F78" s="246">
        <f>'Qtr 2 Budget'!H78</f>
        <v>0</v>
      </c>
      <c r="G78" s="392"/>
      <c r="H78" s="247">
        <f t="shared" si="21"/>
        <v>0</v>
      </c>
      <c r="I78" s="393"/>
      <c r="J78" s="246">
        <f>'Qtr 2 Budget'!L78</f>
        <v>0</v>
      </c>
      <c r="K78" s="392"/>
      <c r="L78" s="247">
        <f t="shared" si="46"/>
        <v>0</v>
      </c>
      <c r="M78" s="393"/>
      <c r="N78" s="246">
        <f t="shared" si="47"/>
        <v>0</v>
      </c>
      <c r="O78" s="247">
        <f t="shared" si="48"/>
        <v>0</v>
      </c>
      <c r="P78" s="247">
        <f t="shared" si="49"/>
        <v>0</v>
      </c>
      <c r="Q78" s="240">
        <f t="shared" si="50"/>
        <v>0</v>
      </c>
      <c r="R78" s="251">
        <f t="shared" si="53"/>
        <v>0</v>
      </c>
      <c r="S78" s="251" t="str">
        <f t="shared" si="54"/>
        <v/>
      </c>
      <c r="T78" s="407"/>
    </row>
    <row r="79" spans="1:20" ht="14.25" customHeight="1">
      <c r="A79" s="243">
        <f t="shared" si="55"/>
        <v>69</v>
      </c>
      <c r="B79" s="396"/>
      <c r="C79" s="396" t="s">
        <v>181</v>
      </c>
      <c r="D79" s="394"/>
      <c r="E79" s="397"/>
      <c r="F79" s="246">
        <f>'Qtr 2 Budget'!H79</f>
        <v>0</v>
      </c>
      <c r="G79" s="392"/>
      <c r="H79" s="247">
        <f t="shared" si="21"/>
        <v>0</v>
      </c>
      <c r="I79" s="393"/>
      <c r="J79" s="246">
        <f>'Qtr 2 Budget'!L79</f>
        <v>0</v>
      </c>
      <c r="K79" s="392"/>
      <c r="L79" s="247">
        <f t="shared" si="46"/>
        <v>0</v>
      </c>
      <c r="M79" s="393"/>
      <c r="N79" s="246">
        <f t="shared" si="47"/>
        <v>0</v>
      </c>
      <c r="O79" s="247">
        <f t="shared" si="48"/>
        <v>0</v>
      </c>
      <c r="P79" s="247">
        <f t="shared" si="49"/>
        <v>0</v>
      </c>
      <c r="Q79" s="240">
        <f t="shared" si="50"/>
        <v>0</v>
      </c>
      <c r="R79" s="251">
        <f t="shared" si="53"/>
        <v>0</v>
      </c>
      <c r="S79" s="251" t="str">
        <f t="shared" si="54"/>
        <v/>
      </c>
      <c r="T79" s="407"/>
    </row>
    <row r="80" spans="1:20">
      <c r="A80" s="256">
        <f t="shared" si="55"/>
        <v>70</v>
      </c>
      <c r="B80" s="257" t="s">
        <v>69</v>
      </c>
      <c r="C80" s="257"/>
      <c r="D80" s="258"/>
      <c r="E80" s="259"/>
      <c r="F80" s="260">
        <f>SUM(F43:F79)</f>
        <v>0</v>
      </c>
      <c r="G80" s="261">
        <f t="shared" ref="G80:Q80" si="56">SUM(G43:G79)</f>
        <v>0</v>
      </c>
      <c r="H80" s="261">
        <f t="shared" si="56"/>
        <v>0</v>
      </c>
      <c r="I80" s="262">
        <f t="shared" si="56"/>
        <v>0</v>
      </c>
      <c r="J80" s="260">
        <f t="shared" si="56"/>
        <v>1599240.5692641316</v>
      </c>
      <c r="K80" s="261">
        <f t="shared" si="56"/>
        <v>0</v>
      </c>
      <c r="L80" s="261">
        <f t="shared" si="56"/>
        <v>1599240.5692641316</v>
      </c>
      <c r="M80" s="262">
        <f t="shared" si="56"/>
        <v>0</v>
      </c>
      <c r="N80" s="260">
        <f t="shared" si="56"/>
        <v>1599240.5692641316</v>
      </c>
      <c r="O80" s="261">
        <f t="shared" si="56"/>
        <v>0</v>
      </c>
      <c r="P80" s="261">
        <f t="shared" si="56"/>
        <v>1599240.5692641316</v>
      </c>
      <c r="Q80" s="262">
        <f t="shared" si="56"/>
        <v>0</v>
      </c>
      <c r="R80" s="263">
        <f t="shared" si="53"/>
        <v>0.32502151327218587</v>
      </c>
      <c r="S80" s="263">
        <f>IFERROR(Q80/P80,"")</f>
        <v>0</v>
      </c>
      <c r="T80" s="408"/>
    </row>
    <row r="81" spans="1:20" ht="18" customHeight="1">
      <c r="A81" s="243">
        <f t="shared" si="55"/>
        <v>71</v>
      </c>
      <c r="B81" s="244"/>
      <c r="C81" s="244"/>
      <c r="D81" s="231"/>
      <c r="E81" s="266"/>
      <c r="F81" s="249"/>
      <c r="G81" s="250"/>
      <c r="H81" s="250"/>
      <c r="I81" s="240"/>
      <c r="J81" s="249"/>
      <c r="K81" s="250"/>
      <c r="L81" s="250"/>
      <c r="M81" s="240"/>
      <c r="N81" s="249"/>
      <c r="O81" s="250"/>
      <c r="P81" s="250"/>
      <c r="Q81" s="240"/>
      <c r="R81" s="251"/>
      <c r="S81" s="251"/>
      <c r="T81" s="414"/>
    </row>
    <row r="82" spans="1:20">
      <c r="A82" s="256">
        <f t="shared" si="55"/>
        <v>72</v>
      </c>
      <c r="B82" s="257" t="s">
        <v>192</v>
      </c>
      <c r="C82" s="257"/>
      <c r="D82" s="258"/>
      <c r="E82" s="266"/>
      <c r="F82" s="249"/>
      <c r="G82" s="250"/>
      <c r="H82" s="250"/>
      <c r="I82" s="240"/>
      <c r="J82" s="249"/>
      <c r="K82" s="250"/>
      <c r="L82" s="250"/>
      <c r="M82" s="240"/>
      <c r="N82" s="249"/>
      <c r="O82" s="250"/>
      <c r="P82" s="250"/>
      <c r="Q82" s="240"/>
      <c r="R82" s="251"/>
      <c r="S82" s="251"/>
      <c r="T82" s="414"/>
    </row>
    <row r="83" spans="1:20" ht="18" customHeight="1">
      <c r="A83" s="243">
        <f t="shared" si="55"/>
        <v>73</v>
      </c>
      <c r="B83" s="396"/>
      <c r="C83" s="396"/>
      <c r="D83" s="394"/>
      <c r="E83" s="395"/>
      <c r="F83" s="246">
        <f>'Qtr 2 Budget'!H83</f>
        <v>0</v>
      </c>
      <c r="G83" s="392"/>
      <c r="H83" s="247">
        <f t="shared" ref="H83:H84" si="57">SUM(F83:G83)</f>
        <v>0</v>
      </c>
      <c r="I83" s="393"/>
      <c r="J83" s="246">
        <f>'Qtr 2 Budget'!L83</f>
        <v>0</v>
      </c>
      <c r="K83" s="392"/>
      <c r="L83" s="247">
        <f t="shared" ref="L83:L84" si="58">SUM(J83:K83)</f>
        <v>0</v>
      </c>
      <c r="M83" s="393"/>
      <c r="N83" s="246">
        <f t="shared" ref="N83:N84" si="59">F83+J83</f>
        <v>0</v>
      </c>
      <c r="O83" s="247">
        <f t="shared" ref="O83:O84" si="60">K83+G83</f>
        <v>0</v>
      </c>
      <c r="P83" s="247">
        <f t="shared" ref="P83:P84" si="61">SUM(N83:O83)</f>
        <v>0</v>
      </c>
      <c r="Q83" s="240">
        <f t="shared" ref="Q83:Q84" si="62">M83+I83</f>
        <v>0</v>
      </c>
      <c r="R83" s="251">
        <f t="shared" ref="R83:R85" si="63">P83/$P$85</f>
        <v>0</v>
      </c>
      <c r="S83" s="251" t="str">
        <f t="shared" ref="S83:S85" si="64">IFERROR(Q83/P83,"")</f>
        <v/>
      </c>
      <c r="T83" s="407"/>
    </row>
    <row r="84" spans="1:20">
      <c r="A84" s="243">
        <f t="shared" si="55"/>
        <v>74</v>
      </c>
      <c r="B84" s="396"/>
      <c r="C84" s="396"/>
      <c r="D84" s="394"/>
      <c r="E84" s="397"/>
      <c r="F84" s="246">
        <f>'Qtr 2 Budget'!H84</f>
        <v>0</v>
      </c>
      <c r="G84" s="392"/>
      <c r="H84" s="247">
        <f t="shared" si="57"/>
        <v>0</v>
      </c>
      <c r="I84" s="393"/>
      <c r="J84" s="246">
        <f>'Qtr 2 Budget'!L84</f>
        <v>0</v>
      </c>
      <c r="K84" s="392"/>
      <c r="L84" s="247">
        <f t="shared" si="58"/>
        <v>0</v>
      </c>
      <c r="M84" s="393"/>
      <c r="N84" s="246">
        <f t="shared" si="59"/>
        <v>0</v>
      </c>
      <c r="O84" s="247">
        <f t="shared" si="60"/>
        <v>0</v>
      </c>
      <c r="P84" s="247">
        <f t="shared" si="61"/>
        <v>0</v>
      </c>
      <c r="Q84" s="240">
        <f t="shared" si="62"/>
        <v>0</v>
      </c>
      <c r="R84" s="251">
        <f t="shared" si="63"/>
        <v>0</v>
      </c>
      <c r="S84" s="251" t="str">
        <f t="shared" si="64"/>
        <v/>
      </c>
      <c r="T84" s="407"/>
    </row>
    <row r="85" spans="1:20" ht="16" thickBot="1">
      <c r="A85" s="219">
        <f t="shared" si="55"/>
        <v>75</v>
      </c>
      <c r="B85" s="189" t="s">
        <v>74</v>
      </c>
      <c r="C85" s="189"/>
      <c r="D85" s="190"/>
      <c r="E85" s="191"/>
      <c r="F85" s="222">
        <f t="shared" ref="F85:Q85" si="65">F22+F39+F80+F83+F84</f>
        <v>3298784.2326921532</v>
      </c>
      <c r="G85" s="225">
        <f t="shared" si="65"/>
        <v>0</v>
      </c>
      <c r="H85" s="225">
        <f t="shared" si="65"/>
        <v>3298784.2326921532</v>
      </c>
      <c r="I85" s="193">
        <f t="shared" si="65"/>
        <v>0</v>
      </c>
      <c r="J85" s="222">
        <f t="shared" si="65"/>
        <v>1621630.2751464846</v>
      </c>
      <c r="K85" s="225">
        <f t="shared" si="65"/>
        <v>0</v>
      </c>
      <c r="L85" s="225">
        <f t="shared" si="65"/>
        <v>1621630.2751464846</v>
      </c>
      <c r="M85" s="193">
        <f t="shared" si="65"/>
        <v>0</v>
      </c>
      <c r="N85" s="222">
        <f t="shared" si="65"/>
        <v>4920414.5078386376</v>
      </c>
      <c r="O85" s="225">
        <f t="shared" si="65"/>
        <v>0</v>
      </c>
      <c r="P85" s="225">
        <f t="shared" si="65"/>
        <v>4920414.5078386376</v>
      </c>
      <c r="Q85" s="193">
        <f t="shared" si="65"/>
        <v>0</v>
      </c>
      <c r="R85" s="194">
        <f t="shared" si="63"/>
        <v>1</v>
      </c>
      <c r="S85" s="194">
        <f t="shared" si="64"/>
        <v>0</v>
      </c>
      <c r="T85" s="415"/>
    </row>
    <row r="86" spans="1:20" ht="17.25" customHeight="1" thickTop="1">
      <c r="A86" s="227">
        <f t="shared" si="55"/>
        <v>76</v>
      </c>
      <c r="B86" s="911" t="s">
        <v>92</v>
      </c>
      <c r="C86" s="911"/>
      <c r="D86" s="912"/>
      <c r="E86" s="228"/>
      <c r="F86" s="276"/>
      <c r="G86" s="277"/>
      <c r="H86" s="277"/>
      <c r="I86" s="278"/>
      <c r="J86" s="276"/>
      <c r="K86" s="277"/>
      <c r="L86" s="277"/>
      <c r="M86" s="279"/>
      <c r="N86" s="276"/>
      <c r="O86" s="277"/>
      <c r="P86" s="277"/>
      <c r="Q86" s="280"/>
      <c r="R86" s="281"/>
      <c r="S86" s="281"/>
      <c r="T86" s="416"/>
    </row>
    <row r="87" spans="1:20" ht="22.5" customHeight="1">
      <c r="A87" s="234">
        <f t="shared" si="55"/>
        <v>77</v>
      </c>
      <c r="B87" s="235"/>
      <c r="C87" s="235"/>
      <c r="D87" s="236" t="s">
        <v>75</v>
      </c>
      <c r="E87" s="282"/>
      <c r="F87" s="283"/>
      <c r="G87" s="284"/>
      <c r="H87" s="284"/>
      <c r="I87" s="236"/>
      <c r="J87" s="283"/>
      <c r="K87" s="284"/>
      <c r="L87" s="284"/>
      <c r="M87" s="285"/>
      <c r="N87" s="283"/>
      <c r="O87" s="284"/>
      <c r="P87" s="284"/>
      <c r="Q87" s="286"/>
      <c r="R87" s="251"/>
      <c r="S87" s="251"/>
      <c r="T87" s="414"/>
    </row>
    <row r="88" spans="1:20" ht="17.25" customHeight="1">
      <c r="A88" s="243">
        <f t="shared" si="55"/>
        <v>78</v>
      </c>
      <c r="B88" s="287"/>
      <c r="C88" s="288" t="s">
        <v>30</v>
      </c>
      <c r="D88" s="231"/>
      <c r="E88" s="282"/>
      <c r="F88" s="283"/>
      <c r="G88" s="284"/>
      <c r="H88" s="284"/>
      <c r="I88" s="236"/>
      <c r="J88" s="283"/>
      <c r="K88" s="284"/>
      <c r="L88" s="284"/>
      <c r="M88" s="285"/>
      <c r="N88" s="283"/>
      <c r="O88" s="284"/>
      <c r="P88" s="284"/>
      <c r="Q88" s="289"/>
      <c r="R88" s="251"/>
      <c r="S88" s="251"/>
      <c r="T88" s="414"/>
    </row>
    <row r="89" spans="1:20" ht="15" customHeight="1">
      <c r="A89" s="243">
        <f t="shared" si="55"/>
        <v>79</v>
      </c>
      <c r="B89" s="287"/>
      <c r="C89" s="288"/>
      <c r="D89" s="231" t="s">
        <v>27</v>
      </c>
      <c r="E89" s="245">
        <v>111</v>
      </c>
      <c r="F89" s="290">
        <f>'Qtr 2 Budget'!H89</f>
        <v>90125.041200000007</v>
      </c>
      <c r="G89" s="398"/>
      <c r="H89" s="291">
        <f t="shared" ref="H89:H96" si="66">SUM(F89:G89)</f>
        <v>90125.041200000007</v>
      </c>
      <c r="I89" s="393"/>
      <c r="J89" s="290">
        <f>'Qtr 2 Budget'!L89</f>
        <v>0</v>
      </c>
      <c r="K89" s="398"/>
      <c r="L89" s="291">
        <f t="shared" ref="L89:L96" si="67">SUM(J89:K89)</f>
        <v>0</v>
      </c>
      <c r="M89" s="399"/>
      <c r="N89" s="290">
        <f t="shared" ref="N89:N96" si="68">F89+J89</f>
        <v>90125.041200000007</v>
      </c>
      <c r="O89" s="291">
        <f t="shared" ref="O89:O96" si="69">K89+G89</f>
        <v>0</v>
      </c>
      <c r="P89" s="291">
        <f t="shared" ref="P89:P96" si="70">SUM(N89:O89)</f>
        <v>90125.041200000007</v>
      </c>
      <c r="Q89" s="289">
        <f t="shared" ref="Q89:Q96" si="71">M89+I89</f>
        <v>0</v>
      </c>
      <c r="R89" s="251">
        <f>P89/$P$156</f>
        <v>1.8323080893509529E-2</v>
      </c>
      <c r="S89" s="251">
        <f t="shared" ref="S89:S97" si="72">IFERROR(Q89/P89,"")</f>
        <v>0</v>
      </c>
      <c r="T89" s="407"/>
    </row>
    <row r="90" spans="1:20" ht="15" customHeight="1">
      <c r="A90" s="243">
        <f t="shared" si="55"/>
        <v>80</v>
      </c>
      <c r="B90" s="287"/>
      <c r="C90" s="288"/>
      <c r="D90" s="231" t="s">
        <v>28</v>
      </c>
      <c r="E90" s="245">
        <v>111</v>
      </c>
      <c r="F90" s="290">
        <f>'Qtr 2 Budget'!H90</f>
        <v>0</v>
      </c>
      <c r="G90" s="398"/>
      <c r="H90" s="291">
        <f t="shared" si="66"/>
        <v>0</v>
      </c>
      <c r="I90" s="393"/>
      <c r="J90" s="290">
        <f>'Qtr 2 Budget'!L90</f>
        <v>0</v>
      </c>
      <c r="K90" s="398"/>
      <c r="L90" s="291">
        <f t="shared" si="67"/>
        <v>0</v>
      </c>
      <c r="M90" s="399"/>
      <c r="N90" s="290">
        <f t="shared" si="68"/>
        <v>0</v>
      </c>
      <c r="O90" s="291">
        <f t="shared" si="69"/>
        <v>0</v>
      </c>
      <c r="P90" s="291">
        <f t="shared" si="70"/>
        <v>0</v>
      </c>
      <c r="Q90" s="289">
        <f t="shared" si="71"/>
        <v>0</v>
      </c>
      <c r="R90" s="251">
        <f t="shared" ref="R90:R97" si="73">P90/$P$156</f>
        <v>0</v>
      </c>
      <c r="S90" s="251" t="str">
        <f t="shared" si="72"/>
        <v/>
      </c>
      <c r="T90" s="407"/>
    </row>
    <row r="91" spans="1:20" ht="15" customHeight="1">
      <c r="A91" s="243">
        <f t="shared" si="55"/>
        <v>81</v>
      </c>
      <c r="B91" s="287"/>
      <c r="C91" s="288"/>
      <c r="D91" s="231" t="s">
        <v>196</v>
      </c>
      <c r="E91" s="245">
        <v>111</v>
      </c>
      <c r="F91" s="290">
        <f>'Qtr 2 Budget'!H91</f>
        <v>385310.34529999999</v>
      </c>
      <c r="G91" s="398"/>
      <c r="H91" s="291">
        <f t="shared" si="66"/>
        <v>385310.34529999999</v>
      </c>
      <c r="I91" s="393"/>
      <c r="J91" s="290">
        <f>'Qtr 2 Budget'!L91</f>
        <v>279400</v>
      </c>
      <c r="K91" s="398"/>
      <c r="L91" s="291">
        <f t="shared" si="67"/>
        <v>279400</v>
      </c>
      <c r="M91" s="399"/>
      <c r="N91" s="290">
        <f t="shared" si="68"/>
        <v>664710.34529999993</v>
      </c>
      <c r="O91" s="291">
        <f t="shared" si="69"/>
        <v>0</v>
      </c>
      <c r="P91" s="291">
        <f t="shared" si="70"/>
        <v>664710.34529999993</v>
      </c>
      <c r="Q91" s="289">
        <f t="shared" si="71"/>
        <v>0</v>
      </c>
      <c r="R91" s="251">
        <f t="shared" si="73"/>
        <v>0.13514048110842417</v>
      </c>
      <c r="S91" s="251">
        <f t="shared" si="72"/>
        <v>0</v>
      </c>
      <c r="T91" s="407"/>
    </row>
    <row r="92" spans="1:20" ht="15" customHeight="1">
      <c r="A92" s="243">
        <f t="shared" si="55"/>
        <v>82</v>
      </c>
      <c r="B92" s="287"/>
      <c r="C92" s="244" t="s">
        <v>5</v>
      </c>
      <c r="D92" s="231"/>
      <c r="E92" s="245">
        <v>112</v>
      </c>
      <c r="F92" s="290">
        <f>'Qtr 2 Budget'!H92</f>
        <v>187848</v>
      </c>
      <c r="G92" s="398"/>
      <c r="H92" s="291">
        <f t="shared" si="66"/>
        <v>187848</v>
      </c>
      <c r="I92" s="393"/>
      <c r="J92" s="290">
        <f>'Qtr 2 Budget'!L92</f>
        <v>1000000</v>
      </c>
      <c r="K92" s="398"/>
      <c r="L92" s="291">
        <f t="shared" si="67"/>
        <v>1000000</v>
      </c>
      <c r="M92" s="399"/>
      <c r="N92" s="290">
        <f t="shared" si="68"/>
        <v>1187848</v>
      </c>
      <c r="O92" s="291">
        <f t="shared" si="69"/>
        <v>0</v>
      </c>
      <c r="P92" s="291">
        <f t="shared" si="70"/>
        <v>1187848</v>
      </c>
      <c r="Q92" s="289">
        <f t="shared" si="71"/>
        <v>0</v>
      </c>
      <c r="R92" s="251">
        <f t="shared" si="73"/>
        <v>0.24149819743098774</v>
      </c>
      <c r="S92" s="251">
        <f t="shared" si="72"/>
        <v>0</v>
      </c>
      <c r="T92" s="407"/>
    </row>
    <row r="93" spans="1:20" ht="15" customHeight="1">
      <c r="A93" s="243">
        <f t="shared" si="55"/>
        <v>83</v>
      </c>
      <c r="B93" s="244"/>
      <c r="C93" s="244" t="s">
        <v>29</v>
      </c>
      <c r="D93" s="231"/>
      <c r="E93" s="245">
        <v>113</v>
      </c>
      <c r="F93" s="290">
        <f>'Qtr 2 Budget'!H93</f>
        <v>0</v>
      </c>
      <c r="G93" s="398"/>
      <c r="H93" s="291">
        <f t="shared" si="66"/>
        <v>0</v>
      </c>
      <c r="I93" s="393"/>
      <c r="J93" s="290">
        <f>'Qtr 2 Budget'!L93</f>
        <v>57936</v>
      </c>
      <c r="K93" s="398"/>
      <c r="L93" s="291">
        <f t="shared" si="67"/>
        <v>57936</v>
      </c>
      <c r="M93" s="399"/>
      <c r="N93" s="290">
        <f t="shared" si="68"/>
        <v>57936</v>
      </c>
      <c r="O93" s="291">
        <f t="shared" si="69"/>
        <v>0</v>
      </c>
      <c r="P93" s="291">
        <f t="shared" si="70"/>
        <v>57936</v>
      </c>
      <c r="Q93" s="289">
        <f t="shared" si="71"/>
        <v>0</v>
      </c>
      <c r="R93" s="251">
        <f t="shared" si="73"/>
        <v>1.177881308581713E-2</v>
      </c>
      <c r="S93" s="251">
        <f t="shared" si="72"/>
        <v>0</v>
      </c>
      <c r="T93" s="407"/>
    </row>
    <row r="94" spans="1:20" ht="15" customHeight="1">
      <c r="A94" s="243">
        <f t="shared" si="55"/>
        <v>84</v>
      </c>
      <c r="B94" s="244"/>
      <c r="C94" s="244" t="s">
        <v>31</v>
      </c>
      <c r="D94" s="231"/>
      <c r="E94" s="245">
        <v>114</v>
      </c>
      <c r="F94" s="290">
        <f>'Qtr 2 Budget'!H94</f>
        <v>81800</v>
      </c>
      <c r="G94" s="398"/>
      <c r="H94" s="291">
        <f t="shared" si="66"/>
        <v>81800</v>
      </c>
      <c r="I94" s="393"/>
      <c r="J94" s="290">
        <f>'Qtr 2 Budget'!L94</f>
        <v>0</v>
      </c>
      <c r="K94" s="398"/>
      <c r="L94" s="291">
        <f t="shared" si="67"/>
        <v>0</v>
      </c>
      <c r="M94" s="399"/>
      <c r="N94" s="290">
        <f t="shared" si="68"/>
        <v>81800</v>
      </c>
      <c r="O94" s="291">
        <f t="shared" si="69"/>
        <v>0</v>
      </c>
      <c r="P94" s="291">
        <f t="shared" si="70"/>
        <v>81800</v>
      </c>
      <c r="Q94" s="289">
        <f t="shared" si="71"/>
        <v>0</v>
      </c>
      <c r="R94" s="251">
        <f t="shared" si="73"/>
        <v>1.6630539050328661E-2</v>
      </c>
      <c r="S94" s="251">
        <f t="shared" si="72"/>
        <v>0</v>
      </c>
      <c r="T94" s="407"/>
    </row>
    <row r="95" spans="1:20" ht="15" customHeight="1">
      <c r="A95" s="243">
        <f t="shared" si="55"/>
        <v>85</v>
      </c>
      <c r="B95" s="244"/>
      <c r="C95" s="244" t="s">
        <v>34</v>
      </c>
      <c r="D95" s="231"/>
      <c r="E95" s="245">
        <v>116</v>
      </c>
      <c r="F95" s="290">
        <f>'Qtr 2 Budget'!H95</f>
        <v>118300</v>
      </c>
      <c r="G95" s="398"/>
      <c r="H95" s="291">
        <f t="shared" si="66"/>
        <v>118300</v>
      </c>
      <c r="I95" s="393"/>
      <c r="J95" s="290">
        <f>'Qtr 2 Budget'!L95</f>
        <v>0</v>
      </c>
      <c r="K95" s="398"/>
      <c r="L95" s="291">
        <f t="shared" si="67"/>
        <v>0</v>
      </c>
      <c r="M95" s="399"/>
      <c r="N95" s="290">
        <f t="shared" si="68"/>
        <v>118300</v>
      </c>
      <c r="O95" s="291">
        <f t="shared" si="69"/>
        <v>0</v>
      </c>
      <c r="P95" s="291">
        <f t="shared" si="70"/>
        <v>118300</v>
      </c>
      <c r="Q95" s="289">
        <f t="shared" si="71"/>
        <v>0</v>
      </c>
      <c r="R95" s="251">
        <f t="shared" si="73"/>
        <v>2.4051256352736926E-2</v>
      </c>
      <c r="S95" s="251">
        <f t="shared" si="72"/>
        <v>0</v>
      </c>
      <c r="T95" s="407"/>
    </row>
    <row r="96" spans="1:20" ht="15" customHeight="1">
      <c r="A96" s="243">
        <f t="shared" si="55"/>
        <v>86</v>
      </c>
      <c r="B96" s="244"/>
      <c r="C96" s="288" t="s">
        <v>197</v>
      </c>
      <c r="D96" s="231"/>
      <c r="E96" s="245" t="s">
        <v>95</v>
      </c>
      <c r="F96" s="290">
        <f>'Qtr 2 Budget'!H96</f>
        <v>134536</v>
      </c>
      <c r="G96" s="398"/>
      <c r="H96" s="291">
        <f t="shared" si="66"/>
        <v>134536</v>
      </c>
      <c r="I96" s="393"/>
      <c r="J96" s="290">
        <f>'Qtr 2 Budget'!L96</f>
        <v>0</v>
      </c>
      <c r="K96" s="398"/>
      <c r="L96" s="291">
        <f t="shared" si="67"/>
        <v>0</v>
      </c>
      <c r="M96" s="399"/>
      <c r="N96" s="290">
        <f t="shared" si="68"/>
        <v>134536</v>
      </c>
      <c r="O96" s="291">
        <f t="shared" si="69"/>
        <v>0</v>
      </c>
      <c r="P96" s="291">
        <f t="shared" si="70"/>
        <v>134536</v>
      </c>
      <c r="Q96" s="289">
        <f t="shared" si="71"/>
        <v>0</v>
      </c>
      <c r="R96" s="251">
        <f t="shared" si="73"/>
        <v>2.7352154054706805E-2</v>
      </c>
      <c r="S96" s="251">
        <f t="shared" si="72"/>
        <v>0</v>
      </c>
      <c r="T96" s="407"/>
    </row>
    <row r="97" spans="1:20" ht="15" customHeight="1">
      <c r="A97" s="256">
        <f t="shared" si="55"/>
        <v>87</v>
      </c>
      <c r="B97" s="257"/>
      <c r="C97" s="257"/>
      <c r="D97" s="292" t="s">
        <v>76</v>
      </c>
      <c r="E97" s="293" t="s">
        <v>6</v>
      </c>
      <c r="F97" s="294">
        <f>SUM(F89:F96)</f>
        <v>997919.38650000002</v>
      </c>
      <c r="G97" s="295">
        <f t="shared" ref="G97:Q97" si="74">SUM(G89:G96)</f>
        <v>0</v>
      </c>
      <c r="H97" s="295">
        <f t="shared" si="74"/>
        <v>997919.38650000002</v>
      </c>
      <c r="I97" s="296">
        <f t="shared" si="74"/>
        <v>0</v>
      </c>
      <c r="J97" s="294">
        <f t="shared" si="74"/>
        <v>1337336</v>
      </c>
      <c r="K97" s="295">
        <f t="shared" si="74"/>
        <v>0</v>
      </c>
      <c r="L97" s="295">
        <f t="shared" si="74"/>
        <v>1337336</v>
      </c>
      <c r="M97" s="296">
        <f t="shared" si="74"/>
        <v>0</v>
      </c>
      <c r="N97" s="294">
        <f t="shared" si="74"/>
        <v>2335255.3865</v>
      </c>
      <c r="O97" s="295">
        <f t="shared" si="74"/>
        <v>0</v>
      </c>
      <c r="P97" s="295">
        <f t="shared" si="74"/>
        <v>2335255.3865</v>
      </c>
      <c r="Q97" s="297">
        <f t="shared" si="74"/>
        <v>0</v>
      </c>
      <c r="R97" s="263">
        <f t="shared" si="73"/>
        <v>0.47477452197651099</v>
      </c>
      <c r="S97" s="263">
        <f t="shared" si="72"/>
        <v>0</v>
      </c>
      <c r="T97" s="408"/>
    </row>
    <row r="98" spans="1:20" ht="17.25" customHeight="1">
      <c r="A98" s="234">
        <f t="shared" si="55"/>
        <v>88</v>
      </c>
      <c r="B98" s="235" t="s">
        <v>77</v>
      </c>
      <c r="C98" s="298"/>
      <c r="D98" s="236"/>
      <c r="E98" s="237"/>
      <c r="F98" s="299"/>
      <c r="G98" s="300"/>
      <c r="H98" s="300"/>
      <c r="I98" s="240"/>
      <c r="J98" s="299"/>
      <c r="K98" s="300"/>
      <c r="L98" s="300"/>
      <c r="M98" s="301"/>
      <c r="N98" s="299"/>
      <c r="O98" s="300"/>
      <c r="P98" s="300"/>
      <c r="Q98" s="289"/>
      <c r="R98" s="251"/>
      <c r="S98" s="251"/>
      <c r="T98" s="414"/>
    </row>
    <row r="99" spans="1:20" ht="17.25" customHeight="1">
      <c r="A99" s="243">
        <f t="shared" si="55"/>
        <v>89</v>
      </c>
      <c r="B99" s="244"/>
      <c r="C99" s="244" t="s">
        <v>32</v>
      </c>
      <c r="D99" s="231"/>
      <c r="E99" s="245">
        <v>210</v>
      </c>
      <c r="F99" s="290">
        <f>'Qtr 2 Budget'!H99</f>
        <v>221685.09375</v>
      </c>
      <c r="G99" s="398"/>
      <c r="H99" s="291">
        <f t="shared" ref="H99:H105" si="75">SUM(F99:G99)</f>
        <v>221685.09375</v>
      </c>
      <c r="I99" s="393"/>
      <c r="J99" s="290">
        <f>'Qtr 2 Budget'!L99</f>
        <v>0</v>
      </c>
      <c r="K99" s="398"/>
      <c r="L99" s="291">
        <f t="shared" ref="L99:L105" si="76">SUM(J99:K99)</f>
        <v>0</v>
      </c>
      <c r="M99" s="399"/>
      <c r="N99" s="290">
        <f t="shared" ref="N99:N105" si="77">F99+J99</f>
        <v>221685.09375</v>
      </c>
      <c r="O99" s="291">
        <f t="shared" ref="O99:O105" si="78">K99+G99</f>
        <v>0</v>
      </c>
      <c r="P99" s="291">
        <f t="shared" ref="P99:P105" si="79">SUM(N99:O99)</f>
        <v>221685.09375</v>
      </c>
      <c r="Q99" s="289">
        <f t="shared" ref="Q99:Q105" si="80">M99+I99</f>
        <v>0</v>
      </c>
      <c r="R99" s="251">
        <f t="shared" ref="R99:R106" si="81">P99/$P$156</f>
        <v>4.5070203037715709E-2</v>
      </c>
      <c r="S99" s="251">
        <f t="shared" ref="S99:S106" si="82">IFERROR(Q99/P99,"")</f>
        <v>0</v>
      </c>
      <c r="T99" s="407"/>
    </row>
    <row r="100" spans="1:20" ht="15" customHeight="1">
      <c r="A100" s="243">
        <f t="shared" si="55"/>
        <v>90</v>
      </c>
      <c r="B100" s="244"/>
      <c r="C100" s="244" t="s">
        <v>7</v>
      </c>
      <c r="D100" s="231"/>
      <c r="E100" s="245">
        <v>220</v>
      </c>
      <c r="F100" s="290">
        <f>'Qtr 2 Budget'!H100</f>
        <v>144785.83396300001</v>
      </c>
      <c r="G100" s="398"/>
      <c r="H100" s="291">
        <f t="shared" si="75"/>
        <v>144785.83396300001</v>
      </c>
      <c r="I100" s="393"/>
      <c r="J100" s="290">
        <f>'Qtr 2 Budget'!L100</f>
        <v>0</v>
      </c>
      <c r="K100" s="398"/>
      <c r="L100" s="291">
        <f t="shared" si="76"/>
        <v>0</v>
      </c>
      <c r="M100" s="399"/>
      <c r="N100" s="290">
        <f t="shared" si="77"/>
        <v>144785.83396300001</v>
      </c>
      <c r="O100" s="291">
        <f t="shared" si="78"/>
        <v>0</v>
      </c>
      <c r="P100" s="291">
        <f t="shared" si="79"/>
        <v>144785.83396300001</v>
      </c>
      <c r="Q100" s="289">
        <f t="shared" si="80"/>
        <v>0</v>
      </c>
      <c r="R100" s="251">
        <f t="shared" si="81"/>
        <v>2.9436020362543683E-2</v>
      </c>
      <c r="S100" s="251">
        <f t="shared" si="82"/>
        <v>0</v>
      </c>
      <c r="T100" s="407"/>
    </row>
    <row r="101" spans="1:20" ht="15" customHeight="1">
      <c r="A101" s="243">
        <f t="shared" si="55"/>
        <v>91</v>
      </c>
      <c r="B101" s="244"/>
      <c r="C101" s="244" t="s">
        <v>23</v>
      </c>
      <c r="D101" s="231"/>
      <c r="E101" s="245">
        <v>225</v>
      </c>
      <c r="F101" s="290">
        <f>'Qtr 2 Budget'!H101</f>
        <v>33861.203104249995</v>
      </c>
      <c r="G101" s="398"/>
      <c r="H101" s="291">
        <f t="shared" si="75"/>
        <v>33861.203104249995</v>
      </c>
      <c r="I101" s="393"/>
      <c r="J101" s="290">
        <f>'Qtr 2 Budget'!L101</f>
        <v>0</v>
      </c>
      <c r="K101" s="398"/>
      <c r="L101" s="291">
        <f t="shared" si="76"/>
        <v>0</v>
      </c>
      <c r="M101" s="399"/>
      <c r="N101" s="290">
        <f t="shared" si="77"/>
        <v>33861.203104249995</v>
      </c>
      <c r="O101" s="291">
        <f t="shared" si="78"/>
        <v>0</v>
      </c>
      <c r="P101" s="291">
        <f t="shared" si="79"/>
        <v>33861.203104249995</v>
      </c>
      <c r="Q101" s="289">
        <f t="shared" si="80"/>
        <v>0</v>
      </c>
      <c r="R101" s="251">
        <f t="shared" si="81"/>
        <v>6.8842305686594085E-3</v>
      </c>
      <c r="S101" s="251">
        <f t="shared" si="82"/>
        <v>0</v>
      </c>
      <c r="T101" s="407"/>
    </row>
    <row r="102" spans="1:20" ht="15" customHeight="1">
      <c r="A102" s="243">
        <f t="shared" si="55"/>
        <v>92</v>
      </c>
      <c r="B102" s="244"/>
      <c r="C102" s="244" t="s">
        <v>8</v>
      </c>
      <c r="D102" s="231"/>
      <c r="E102" s="245" t="s">
        <v>116</v>
      </c>
      <c r="F102" s="290">
        <f>'Qtr 2 Budget'!H102</f>
        <v>46705.107730000003</v>
      </c>
      <c r="G102" s="398"/>
      <c r="H102" s="291">
        <f t="shared" si="75"/>
        <v>46705.107730000003</v>
      </c>
      <c r="I102" s="393"/>
      <c r="J102" s="290">
        <f>'Qtr 2 Budget'!L102</f>
        <v>0</v>
      </c>
      <c r="K102" s="398"/>
      <c r="L102" s="291">
        <f t="shared" si="76"/>
        <v>0</v>
      </c>
      <c r="M102" s="399"/>
      <c r="N102" s="290">
        <f t="shared" si="77"/>
        <v>46705.107730000003</v>
      </c>
      <c r="O102" s="291">
        <f t="shared" si="78"/>
        <v>0</v>
      </c>
      <c r="P102" s="291">
        <f t="shared" si="79"/>
        <v>46705.107730000003</v>
      </c>
      <c r="Q102" s="289">
        <f t="shared" si="80"/>
        <v>0</v>
      </c>
      <c r="R102" s="251">
        <f t="shared" si="81"/>
        <v>9.49549043953022E-3</v>
      </c>
      <c r="S102" s="251">
        <f t="shared" si="82"/>
        <v>0</v>
      </c>
      <c r="T102" s="407"/>
    </row>
    <row r="103" spans="1:20" ht="15" customHeight="1">
      <c r="A103" s="305">
        <f t="shared" si="55"/>
        <v>93</v>
      </c>
      <c r="B103" s="306"/>
      <c r="C103" s="306" t="s">
        <v>9</v>
      </c>
      <c r="D103" s="307"/>
      <c r="E103" s="308">
        <v>250</v>
      </c>
      <c r="F103" s="309">
        <f>'Qtr 2 Budget'!H103</f>
        <v>23352.553865000002</v>
      </c>
      <c r="G103" s="400"/>
      <c r="H103" s="310">
        <f t="shared" si="75"/>
        <v>23352.553865000002</v>
      </c>
      <c r="I103" s="401"/>
      <c r="J103" s="309">
        <f>'Qtr 2 Budget'!L103</f>
        <v>0</v>
      </c>
      <c r="K103" s="400"/>
      <c r="L103" s="310">
        <f t="shared" si="76"/>
        <v>0</v>
      </c>
      <c r="M103" s="402"/>
      <c r="N103" s="309">
        <f t="shared" si="77"/>
        <v>23352.553865000002</v>
      </c>
      <c r="O103" s="310">
        <f t="shared" si="78"/>
        <v>0</v>
      </c>
      <c r="P103" s="310">
        <f t="shared" si="79"/>
        <v>23352.553865000002</v>
      </c>
      <c r="Q103" s="311">
        <f t="shared" si="80"/>
        <v>0</v>
      </c>
      <c r="R103" s="312">
        <f t="shared" si="81"/>
        <v>4.74774521976511E-3</v>
      </c>
      <c r="S103" s="312">
        <f t="shared" si="82"/>
        <v>0</v>
      </c>
      <c r="T103" s="417"/>
    </row>
    <row r="104" spans="1:20" ht="15" customHeight="1">
      <c r="A104" s="243">
        <f t="shared" si="55"/>
        <v>94</v>
      </c>
      <c r="B104" s="244"/>
      <c r="C104" s="288" t="s">
        <v>33</v>
      </c>
      <c r="D104" s="231"/>
      <c r="E104" s="245">
        <v>270</v>
      </c>
      <c r="F104" s="290">
        <f>'Qtr 2 Budget'!H104</f>
        <v>0</v>
      </c>
      <c r="G104" s="398"/>
      <c r="H104" s="291">
        <f t="shared" si="75"/>
        <v>0</v>
      </c>
      <c r="I104" s="393"/>
      <c r="J104" s="290">
        <f>'Qtr 2 Budget'!L104</f>
        <v>0</v>
      </c>
      <c r="K104" s="398"/>
      <c r="L104" s="291">
        <f t="shared" si="76"/>
        <v>0</v>
      </c>
      <c r="M104" s="399"/>
      <c r="N104" s="290">
        <f t="shared" si="77"/>
        <v>0</v>
      </c>
      <c r="O104" s="291">
        <f t="shared" si="78"/>
        <v>0</v>
      </c>
      <c r="P104" s="291">
        <f t="shared" si="79"/>
        <v>0</v>
      </c>
      <c r="Q104" s="289">
        <f t="shared" si="80"/>
        <v>0</v>
      </c>
      <c r="R104" s="251">
        <f t="shared" si="81"/>
        <v>0</v>
      </c>
      <c r="S104" s="251" t="str">
        <f t="shared" si="82"/>
        <v/>
      </c>
      <c r="T104" s="407"/>
    </row>
    <row r="105" spans="1:20" ht="15" customHeight="1">
      <c r="A105" s="305">
        <f t="shared" si="55"/>
        <v>95</v>
      </c>
      <c r="B105" s="306"/>
      <c r="C105" s="313" t="s">
        <v>198</v>
      </c>
      <c r="D105" s="307"/>
      <c r="E105" s="308" t="s">
        <v>10</v>
      </c>
      <c r="F105" s="309">
        <f>'Qtr 2 Budget'!H105</f>
        <v>53928.553865000002</v>
      </c>
      <c r="G105" s="400"/>
      <c r="H105" s="310">
        <f t="shared" si="75"/>
        <v>53928.553865000002</v>
      </c>
      <c r="I105" s="401"/>
      <c r="J105" s="309">
        <f>'Qtr 2 Budget'!L105</f>
        <v>0</v>
      </c>
      <c r="K105" s="400"/>
      <c r="L105" s="310">
        <f t="shared" si="76"/>
        <v>0</v>
      </c>
      <c r="M105" s="402"/>
      <c r="N105" s="309">
        <f t="shared" si="77"/>
        <v>53928.553865000002</v>
      </c>
      <c r="O105" s="310">
        <f t="shared" si="78"/>
        <v>0</v>
      </c>
      <c r="P105" s="310">
        <f t="shared" si="79"/>
        <v>53928.553865000002</v>
      </c>
      <c r="Q105" s="311">
        <f t="shared" si="80"/>
        <v>0</v>
      </c>
      <c r="R105" s="312">
        <f t="shared" si="81"/>
        <v>1.0964069938626347E-2</v>
      </c>
      <c r="S105" s="312">
        <f t="shared" si="82"/>
        <v>0</v>
      </c>
      <c r="T105" s="417"/>
    </row>
    <row r="106" spans="1:20" ht="15" customHeight="1">
      <c r="A106" s="314">
        <f t="shared" si="55"/>
        <v>96</v>
      </c>
      <c r="B106" s="315"/>
      <c r="C106" s="315"/>
      <c r="D106" s="316" t="s">
        <v>78</v>
      </c>
      <c r="E106" s="317" t="s">
        <v>11</v>
      </c>
      <c r="F106" s="318">
        <f>SUM(F99:F105)</f>
        <v>524318.34627724998</v>
      </c>
      <c r="G106" s="319">
        <f t="shared" ref="G106:Q106" si="83">SUM(G99:G105)</f>
        <v>0</v>
      </c>
      <c r="H106" s="319">
        <f t="shared" si="83"/>
        <v>524318.34627724998</v>
      </c>
      <c r="I106" s="320">
        <f t="shared" si="83"/>
        <v>0</v>
      </c>
      <c r="J106" s="318">
        <f t="shared" si="83"/>
        <v>0</v>
      </c>
      <c r="K106" s="319">
        <f t="shared" si="83"/>
        <v>0</v>
      </c>
      <c r="L106" s="319">
        <f t="shared" si="83"/>
        <v>0</v>
      </c>
      <c r="M106" s="320">
        <f t="shared" si="83"/>
        <v>0</v>
      </c>
      <c r="N106" s="318">
        <f t="shared" si="83"/>
        <v>524318.34627724998</v>
      </c>
      <c r="O106" s="319">
        <f t="shared" si="83"/>
        <v>0</v>
      </c>
      <c r="P106" s="319">
        <f t="shared" si="83"/>
        <v>524318.34627724998</v>
      </c>
      <c r="Q106" s="321">
        <f t="shared" si="83"/>
        <v>0</v>
      </c>
      <c r="R106" s="322">
        <f t="shared" si="81"/>
        <v>0.10659775956684046</v>
      </c>
      <c r="S106" s="322">
        <f t="shared" si="82"/>
        <v>0</v>
      </c>
      <c r="T106" s="418"/>
    </row>
    <row r="107" spans="1:20" ht="17.25" customHeight="1">
      <c r="A107" s="323">
        <f t="shared" si="55"/>
        <v>97</v>
      </c>
      <c r="B107" s="324" t="s">
        <v>80</v>
      </c>
      <c r="C107" s="325"/>
      <c r="D107" s="326"/>
      <c r="E107" s="327"/>
      <c r="F107" s="328"/>
      <c r="G107" s="329"/>
      <c r="H107" s="329"/>
      <c r="I107" s="330"/>
      <c r="J107" s="328"/>
      <c r="K107" s="329"/>
      <c r="L107" s="329"/>
      <c r="M107" s="331"/>
      <c r="N107" s="328"/>
      <c r="O107" s="329"/>
      <c r="P107" s="329"/>
      <c r="Q107" s="311"/>
      <c r="R107" s="312"/>
      <c r="S107" s="312"/>
      <c r="T107" s="419"/>
    </row>
    <row r="108" spans="1:20" ht="17.25" customHeight="1">
      <c r="A108" s="305">
        <f t="shared" si="55"/>
        <v>98</v>
      </c>
      <c r="B108" s="306"/>
      <c r="C108" s="306" t="s">
        <v>12</v>
      </c>
      <c r="D108" s="307"/>
      <c r="E108" s="308">
        <v>332</v>
      </c>
      <c r="F108" s="309">
        <f>'Qtr 2 Budget'!H108</f>
        <v>12500</v>
      </c>
      <c r="G108" s="400"/>
      <c r="H108" s="310">
        <f t="shared" ref="H108:H111" si="84">SUM(F108:G108)</f>
        <v>12500</v>
      </c>
      <c r="I108" s="401"/>
      <c r="J108" s="309">
        <f>'Qtr 2 Budget'!L108</f>
        <v>0</v>
      </c>
      <c r="K108" s="400"/>
      <c r="L108" s="310">
        <f t="shared" ref="L108:L111" si="85">SUM(J108:K108)</f>
        <v>0</v>
      </c>
      <c r="M108" s="402"/>
      <c r="N108" s="309">
        <f t="shared" ref="N108:N111" si="86">F108+J108</f>
        <v>12500</v>
      </c>
      <c r="O108" s="310">
        <f t="shared" ref="O108:O111" si="87">K108+G108</f>
        <v>0</v>
      </c>
      <c r="P108" s="310">
        <f t="shared" ref="P108:P111" si="88">SUM(N108:O108)</f>
        <v>12500</v>
      </c>
      <c r="Q108" s="311">
        <f t="shared" ref="Q108:Q111" si="89">M108+I108</f>
        <v>0</v>
      </c>
      <c r="R108" s="312">
        <f t="shared" ref="R108:R112" si="90">P108/$P$156</f>
        <v>2.5413415419206389E-3</v>
      </c>
      <c r="S108" s="312">
        <f t="shared" ref="S108:S112" si="91">IFERROR(Q108/P108,"")</f>
        <v>0</v>
      </c>
      <c r="T108" s="417"/>
    </row>
    <row r="109" spans="1:20" ht="15" customHeight="1">
      <c r="A109" s="305">
        <f t="shared" si="55"/>
        <v>99</v>
      </c>
      <c r="B109" s="306"/>
      <c r="C109" s="306" t="s">
        <v>13</v>
      </c>
      <c r="D109" s="307"/>
      <c r="E109" s="308">
        <v>333</v>
      </c>
      <c r="F109" s="309">
        <f>'Qtr 2 Budget'!H109</f>
        <v>17199</v>
      </c>
      <c r="G109" s="400"/>
      <c r="H109" s="310">
        <f t="shared" si="84"/>
        <v>17199</v>
      </c>
      <c r="I109" s="401"/>
      <c r="J109" s="309">
        <f>'Qtr 2 Budget'!L109</f>
        <v>0</v>
      </c>
      <c r="K109" s="400"/>
      <c r="L109" s="310">
        <f t="shared" si="85"/>
        <v>0</v>
      </c>
      <c r="M109" s="402"/>
      <c r="N109" s="309">
        <f t="shared" si="86"/>
        <v>17199</v>
      </c>
      <c r="O109" s="310">
        <f t="shared" si="87"/>
        <v>0</v>
      </c>
      <c r="P109" s="310">
        <f t="shared" si="88"/>
        <v>17199</v>
      </c>
      <c r="Q109" s="311">
        <f t="shared" si="89"/>
        <v>0</v>
      </c>
      <c r="R109" s="312">
        <f t="shared" si="90"/>
        <v>3.4966826543594452E-3</v>
      </c>
      <c r="S109" s="312">
        <f t="shared" si="91"/>
        <v>0</v>
      </c>
      <c r="T109" s="417"/>
    </row>
    <row r="110" spans="1:20" ht="15" customHeight="1">
      <c r="A110" s="305">
        <f t="shared" si="55"/>
        <v>100</v>
      </c>
      <c r="B110" s="306"/>
      <c r="C110" s="306" t="s">
        <v>35</v>
      </c>
      <c r="D110" s="307"/>
      <c r="E110" s="308" t="s">
        <v>96</v>
      </c>
      <c r="F110" s="309">
        <f>'Qtr 2 Budget'!H110</f>
        <v>0</v>
      </c>
      <c r="G110" s="400"/>
      <c r="H110" s="310">
        <f t="shared" si="84"/>
        <v>0</v>
      </c>
      <c r="I110" s="401"/>
      <c r="J110" s="309">
        <f>'Qtr 2 Budget'!L110</f>
        <v>0</v>
      </c>
      <c r="K110" s="400"/>
      <c r="L110" s="310">
        <f t="shared" si="85"/>
        <v>0</v>
      </c>
      <c r="M110" s="402"/>
      <c r="N110" s="309">
        <f t="shared" si="86"/>
        <v>0</v>
      </c>
      <c r="O110" s="310">
        <f t="shared" si="87"/>
        <v>0</v>
      </c>
      <c r="P110" s="310">
        <f t="shared" si="88"/>
        <v>0</v>
      </c>
      <c r="Q110" s="311">
        <f t="shared" si="89"/>
        <v>0</v>
      </c>
      <c r="R110" s="312">
        <f t="shared" si="90"/>
        <v>0</v>
      </c>
      <c r="S110" s="312" t="str">
        <f t="shared" si="91"/>
        <v/>
      </c>
      <c r="T110" s="417"/>
    </row>
    <row r="111" spans="1:20" ht="15" customHeight="1">
      <c r="A111" s="305">
        <f t="shared" si="55"/>
        <v>101</v>
      </c>
      <c r="B111" s="306"/>
      <c r="C111" s="313" t="s">
        <v>199</v>
      </c>
      <c r="D111" s="307"/>
      <c r="E111" s="308" t="s">
        <v>96</v>
      </c>
      <c r="F111" s="309">
        <f>'Qtr 2 Budget'!H111</f>
        <v>730338</v>
      </c>
      <c r="G111" s="400"/>
      <c r="H111" s="310">
        <f t="shared" si="84"/>
        <v>730338</v>
      </c>
      <c r="I111" s="401"/>
      <c r="J111" s="309">
        <f>'Qtr 2 Budget'!L111</f>
        <v>16794</v>
      </c>
      <c r="K111" s="400"/>
      <c r="L111" s="310">
        <f t="shared" si="85"/>
        <v>16794</v>
      </c>
      <c r="M111" s="402"/>
      <c r="N111" s="309">
        <f t="shared" si="86"/>
        <v>747132</v>
      </c>
      <c r="O111" s="310">
        <f t="shared" si="87"/>
        <v>0</v>
      </c>
      <c r="P111" s="310">
        <f t="shared" si="88"/>
        <v>747132</v>
      </c>
      <c r="Q111" s="311">
        <f t="shared" si="89"/>
        <v>0</v>
      </c>
      <c r="R111" s="312">
        <f t="shared" si="90"/>
        <v>0.15189740711186006</v>
      </c>
      <c r="S111" s="312">
        <f t="shared" si="91"/>
        <v>0</v>
      </c>
      <c r="T111" s="417"/>
    </row>
    <row r="112" spans="1:20" ht="15" customHeight="1">
      <c r="A112" s="314">
        <f t="shared" si="55"/>
        <v>102</v>
      </c>
      <c r="B112" s="315"/>
      <c r="C112" s="315"/>
      <c r="D112" s="316" t="s">
        <v>79</v>
      </c>
      <c r="E112" s="317" t="s">
        <v>14</v>
      </c>
      <c r="F112" s="318">
        <f>SUM(F108:F111)</f>
        <v>760037</v>
      </c>
      <c r="G112" s="319">
        <f t="shared" ref="G112:Q112" si="92">SUM(G108:G111)</f>
        <v>0</v>
      </c>
      <c r="H112" s="319">
        <f t="shared" si="92"/>
        <v>760037</v>
      </c>
      <c r="I112" s="320">
        <f t="shared" si="92"/>
        <v>0</v>
      </c>
      <c r="J112" s="318">
        <f t="shared" si="92"/>
        <v>16794</v>
      </c>
      <c r="K112" s="319">
        <f t="shared" si="92"/>
        <v>0</v>
      </c>
      <c r="L112" s="319">
        <f t="shared" si="92"/>
        <v>16794</v>
      </c>
      <c r="M112" s="320">
        <f t="shared" si="92"/>
        <v>0</v>
      </c>
      <c r="N112" s="318">
        <f t="shared" si="92"/>
        <v>776831</v>
      </c>
      <c r="O112" s="319">
        <f t="shared" si="92"/>
        <v>0</v>
      </c>
      <c r="P112" s="319">
        <f t="shared" si="92"/>
        <v>776831</v>
      </c>
      <c r="Q112" s="321">
        <f t="shared" si="92"/>
        <v>0</v>
      </c>
      <c r="R112" s="322">
        <f t="shared" si="90"/>
        <v>0.15793543130814014</v>
      </c>
      <c r="S112" s="322">
        <f t="shared" si="91"/>
        <v>0</v>
      </c>
      <c r="T112" s="418"/>
    </row>
    <row r="113" spans="1:20" ht="17.25" customHeight="1">
      <c r="A113" s="323">
        <f t="shared" si="55"/>
        <v>103</v>
      </c>
      <c r="B113" s="324" t="s">
        <v>81</v>
      </c>
      <c r="C113" s="324"/>
      <c r="D113" s="326"/>
      <c r="E113" s="327"/>
      <c r="F113" s="328"/>
      <c r="G113" s="329"/>
      <c r="H113" s="329"/>
      <c r="I113" s="330"/>
      <c r="J113" s="328"/>
      <c r="K113" s="329"/>
      <c r="L113" s="329"/>
      <c r="M113" s="331"/>
      <c r="N113" s="328"/>
      <c r="O113" s="329"/>
      <c r="P113" s="329"/>
      <c r="Q113" s="311"/>
      <c r="R113" s="312"/>
      <c r="S113" s="312"/>
      <c r="T113" s="419"/>
    </row>
    <row r="114" spans="1:20" ht="17.25" customHeight="1">
      <c r="A114" s="305">
        <f t="shared" si="55"/>
        <v>104</v>
      </c>
      <c r="B114" s="332"/>
      <c r="C114" s="306" t="s">
        <v>24</v>
      </c>
      <c r="D114" s="307"/>
      <c r="E114" s="308">
        <v>411</v>
      </c>
      <c r="F114" s="309">
        <f>'Qtr 2 Budget'!H114</f>
        <v>24500</v>
      </c>
      <c r="G114" s="400"/>
      <c r="H114" s="310">
        <f t="shared" ref="H114:H118" si="93">SUM(F114:G114)</f>
        <v>24500</v>
      </c>
      <c r="I114" s="401"/>
      <c r="J114" s="309">
        <f>'Qtr 2 Budget'!L114</f>
        <v>0</v>
      </c>
      <c r="K114" s="400"/>
      <c r="L114" s="310">
        <f t="shared" ref="L114:L118" si="94">SUM(J114:K114)</f>
        <v>0</v>
      </c>
      <c r="M114" s="402"/>
      <c r="N114" s="309">
        <f t="shared" ref="N114:N118" si="95">F114+J114</f>
        <v>24500</v>
      </c>
      <c r="O114" s="310">
        <f t="shared" ref="O114:O118" si="96">K114+G114</f>
        <v>0</v>
      </c>
      <c r="P114" s="310">
        <f t="shared" ref="P114:P118" si="97">SUM(N114:O114)</f>
        <v>24500</v>
      </c>
      <c r="Q114" s="311">
        <f t="shared" ref="Q114:Q118" si="98">M114+I114</f>
        <v>0</v>
      </c>
      <c r="R114" s="312">
        <f t="shared" ref="R114:R119" si="99">P114/$P$156</f>
        <v>4.9810294221644515E-3</v>
      </c>
      <c r="S114" s="312">
        <f t="shared" ref="S114:S119" si="100">IFERROR(Q114/P114,"")</f>
        <v>0</v>
      </c>
      <c r="T114" s="417"/>
    </row>
    <row r="115" spans="1:20" ht="15" customHeight="1">
      <c r="A115" s="305">
        <f t="shared" si="55"/>
        <v>105</v>
      </c>
      <c r="B115" s="332"/>
      <c r="C115" s="333" t="s">
        <v>114</v>
      </c>
      <c r="D115" s="307"/>
      <c r="E115" s="308">
        <v>441</v>
      </c>
      <c r="F115" s="309">
        <f>'Qtr 2 Budget'!H115</f>
        <v>0</v>
      </c>
      <c r="G115" s="400"/>
      <c r="H115" s="310">
        <f t="shared" si="93"/>
        <v>0</v>
      </c>
      <c r="I115" s="401"/>
      <c r="J115" s="309">
        <f>'Qtr 2 Budget'!L115</f>
        <v>0</v>
      </c>
      <c r="K115" s="400"/>
      <c r="L115" s="310">
        <f t="shared" si="94"/>
        <v>0</v>
      </c>
      <c r="M115" s="402"/>
      <c r="N115" s="309">
        <f t="shared" si="95"/>
        <v>0</v>
      </c>
      <c r="O115" s="310">
        <f t="shared" si="96"/>
        <v>0</v>
      </c>
      <c r="P115" s="310">
        <f t="shared" si="97"/>
        <v>0</v>
      </c>
      <c r="Q115" s="311">
        <f t="shared" si="98"/>
        <v>0</v>
      </c>
      <c r="R115" s="312">
        <f t="shared" si="99"/>
        <v>0</v>
      </c>
      <c r="S115" s="312" t="str">
        <f t="shared" si="100"/>
        <v/>
      </c>
      <c r="T115" s="417"/>
    </row>
    <row r="116" spans="1:20" ht="15" customHeight="1">
      <c r="A116" s="305">
        <f t="shared" si="55"/>
        <v>106</v>
      </c>
      <c r="B116" s="332"/>
      <c r="C116" s="306" t="s">
        <v>97</v>
      </c>
      <c r="D116" s="307"/>
      <c r="E116" s="308">
        <v>442</v>
      </c>
      <c r="F116" s="309">
        <f>'Qtr 2 Budget'!H116</f>
        <v>22070</v>
      </c>
      <c r="G116" s="400"/>
      <c r="H116" s="310">
        <f t="shared" si="93"/>
        <v>22070</v>
      </c>
      <c r="I116" s="401"/>
      <c r="J116" s="309">
        <f>'Qtr 2 Budget'!L116</f>
        <v>0</v>
      </c>
      <c r="K116" s="400"/>
      <c r="L116" s="310">
        <f t="shared" si="94"/>
        <v>0</v>
      </c>
      <c r="M116" s="402"/>
      <c r="N116" s="309">
        <f t="shared" si="95"/>
        <v>22070</v>
      </c>
      <c r="O116" s="310">
        <f t="shared" si="96"/>
        <v>0</v>
      </c>
      <c r="P116" s="310">
        <f t="shared" si="97"/>
        <v>22070</v>
      </c>
      <c r="Q116" s="311">
        <f t="shared" si="98"/>
        <v>0</v>
      </c>
      <c r="R116" s="312">
        <f t="shared" si="99"/>
        <v>4.4869926264150799E-3</v>
      </c>
      <c r="S116" s="312">
        <f t="shared" si="100"/>
        <v>0</v>
      </c>
      <c r="T116" s="417"/>
    </row>
    <row r="117" spans="1:20" ht="15" customHeight="1">
      <c r="A117" s="305">
        <f t="shared" si="55"/>
        <v>107</v>
      </c>
      <c r="B117" s="332"/>
      <c r="C117" s="306" t="s">
        <v>36</v>
      </c>
      <c r="D117" s="307"/>
      <c r="E117" s="308">
        <v>430</v>
      </c>
      <c r="F117" s="309">
        <f>'Qtr 2 Budget'!H117</f>
        <v>81000</v>
      </c>
      <c r="G117" s="400"/>
      <c r="H117" s="310">
        <f t="shared" si="93"/>
        <v>81000</v>
      </c>
      <c r="I117" s="401"/>
      <c r="J117" s="309">
        <f>'Qtr 2 Budget'!L117</f>
        <v>0</v>
      </c>
      <c r="K117" s="400"/>
      <c r="L117" s="310">
        <f t="shared" si="94"/>
        <v>0</v>
      </c>
      <c r="M117" s="402"/>
      <c r="N117" s="309">
        <f t="shared" si="95"/>
        <v>81000</v>
      </c>
      <c r="O117" s="310">
        <f t="shared" si="96"/>
        <v>0</v>
      </c>
      <c r="P117" s="310">
        <f t="shared" si="97"/>
        <v>81000</v>
      </c>
      <c r="Q117" s="311">
        <f t="shared" si="98"/>
        <v>0</v>
      </c>
      <c r="R117" s="312">
        <f t="shared" si="99"/>
        <v>1.6467893191645738E-2</v>
      </c>
      <c r="S117" s="312">
        <f t="shared" si="100"/>
        <v>0</v>
      </c>
      <c r="T117" s="417"/>
    </row>
    <row r="118" spans="1:20" ht="15" customHeight="1">
      <c r="A118" s="305">
        <f t="shared" si="55"/>
        <v>108</v>
      </c>
      <c r="B118" s="306"/>
      <c r="C118" s="313" t="s">
        <v>200</v>
      </c>
      <c r="D118" s="307"/>
      <c r="E118" s="334" t="s">
        <v>98</v>
      </c>
      <c r="F118" s="309">
        <f>'Qtr 2 Budget'!H118</f>
        <v>78039</v>
      </c>
      <c r="G118" s="400"/>
      <c r="H118" s="310">
        <f t="shared" si="93"/>
        <v>78039</v>
      </c>
      <c r="I118" s="401"/>
      <c r="J118" s="309">
        <f>'Qtr 2 Budget'!L118</f>
        <v>0</v>
      </c>
      <c r="K118" s="400"/>
      <c r="L118" s="310">
        <f t="shared" si="94"/>
        <v>0</v>
      </c>
      <c r="M118" s="402"/>
      <c r="N118" s="309">
        <f t="shared" si="95"/>
        <v>78039</v>
      </c>
      <c r="O118" s="310">
        <f t="shared" si="96"/>
        <v>0</v>
      </c>
      <c r="P118" s="310">
        <f t="shared" si="97"/>
        <v>78039</v>
      </c>
      <c r="Q118" s="311">
        <f t="shared" si="98"/>
        <v>0</v>
      </c>
      <c r="R118" s="312">
        <f t="shared" si="99"/>
        <v>1.5865900207195579E-2</v>
      </c>
      <c r="S118" s="312">
        <f t="shared" si="100"/>
        <v>0</v>
      </c>
      <c r="T118" s="417"/>
    </row>
    <row r="119" spans="1:20" ht="15" customHeight="1" thickBot="1">
      <c r="A119" s="219">
        <f t="shared" si="55"/>
        <v>109</v>
      </c>
      <c r="B119" s="195"/>
      <c r="C119" s="195" t="s">
        <v>82</v>
      </c>
      <c r="D119" s="196"/>
      <c r="E119" s="197">
        <v>400</v>
      </c>
      <c r="F119" s="223">
        <f>SUM(F114:F118)</f>
        <v>205609</v>
      </c>
      <c r="G119" s="226">
        <f t="shared" ref="G119:Q119" si="101">SUM(G114:G118)</f>
        <v>0</v>
      </c>
      <c r="H119" s="226">
        <f t="shared" si="101"/>
        <v>205609</v>
      </c>
      <c r="I119" s="199">
        <f t="shared" si="101"/>
        <v>0</v>
      </c>
      <c r="J119" s="223">
        <f t="shared" si="101"/>
        <v>0</v>
      </c>
      <c r="K119" s="226">
        <f t="shared" si="101"/>
        <v>0</v>
      </c>
      <c r="L119" s="226">
        <f t="shared" si="101"/>
        <v>0</v>
      </c>
      <c r="M119" s="199">
        <f t="shared" si="101"/>
        <v>0</v>
      </c>
      <c r="N119" s="223">
        <f t="shared" si="101"/>
        <v>205609</v>
      </c>
      <c r="O119" s="226">
        <f t="shared" si="101"/>
        <v>0</v>
      </c>
      <c r="P119" s="226">
        <f t="shared" si="101"/>
        <v>205609</v>
      </c>
      <c r="Q119" s="198">
        <f t="shared" si="101"/>
        <v>0</v>
      </c>
      <c r="R119" s="194">
        <f t="shared" si="99"/>
        <v>4.1801815447420849E-2</v>
      </c>
      <c r="S119" s="194">
        <f t="shared" si="100"/>
        <v>0</v>
      </c>
      <c r="T119" s="415"/>
    </row>
    <row r="120" spans="1:20" ht="17.25" customHeight="1" thickTop="1">
      <c r="A120" s="268">
        <f t="shared" si="55"/>
        <v>110</v>
      </c>
      <c r="B120" s="269" t="s">
        <v>99</v>
      </c>
      <c r="C120" s="269"/>
      <c r="D120" s="270"/>
      <c r="E120" s="335"/>
      <c r="F120" s="336"/>
      <c r="G120" s="337"/>
      <c r="H120" s="337"/>
      <c r="I120" s="338"/>
      <c r="J120" s="336"/>
      <c r="K120" s="337"/>
      <c r="L120" s="337"/>
      <c r="M120" s="339"/>
      <c r="N120" s="336"/>
      <c r="O120" s="337"/>
      <c r="P120" s="337"/>
      <c r="Q120" s="340"/>
      <c r="R120" s="275"/>
      <c r="S120" s="275"/>
      <c r="T120" s="420"/>
    </row>
    <row r="121" spans="1:20" ht="17.25" customHeight="1">
      <c r="A121" s="243">
        <f t="shared" si="55"/>
        <v>111</v>
      </c>
      <c r="B121" s="302"/>
      <c r="C121" s="288" t="s">
        <v>15</v>
      </c>
      <c r="D121" s="231"/>
      <c r="E121" s="245" t="s">
        <v>16</v>
      </c>
      <c r="F121" s="290">
        <f>'Qtr 2 Budget'!H121</f>
        <v>351360</v>
      </c>
      <c r="G121" s="398"/>
      <c r="H121" s="291">
        <f t="shared" ref="H121:H129" si="102">SUM(F121:G121)</f>
        <v>351360</v>
      </c>
      <c r="I121" s="393"/>
      <c r="J121" s="290">
        <f>'Qtr 2 Budget'!L121</f>
        <v>0</v>
      </c>
      <c r="K121" s="398"/>
      <c r="L121" s="291">
        <f t="shared" ref="L121:L129" si="103">SUM(J121:K121)</f>
        <v>0</v>
      </c>
      <c r="M121" s="399"/>
      <c r="N121" s="290">
        <f t="shared" ref="N121:N129" si="104">F121+J121</f>
        <v>351360</v>
      </c>
      <c r="O121" s="291">
        <f t="shared" ref="O121:O129" si="105">K121+G121</f>
        <v>0</v>
      </c>
      <c r="P121" s="291">
        <f t="shared" ref="P121:P129" si="106">SUM(N121:O121)</f>
        <v>351360</v>
      </c>
      <c r="Q121" s="289">
        <f t="shared" ref="Q121:Q129" si="107">M121+I121</f>
        <v>0</v>
      </c>
      <c r="R121" s="251">
        <f t="shared" ref="R121:R130" si="108">P121/$P$156</f>
        <v>7.1434061133538854E-2</v>
      </c>
      <c r="S121" s="251">
        <f t="shared" ref="S121:S130" si="109">IFERROR(Q121/P121,"")</f>
        <v>0</v>
      </c>
      <c r="T121" s="407"/>
    </row>
    <row r="122" spans="1:20" ht="15" customHeight="1">
      <c r="A122" s="243">
        <f t="shared" si="55"/>
        <v>112</v>
      </c>
      <c r="B122" s="302"/>
      <c r="C122" s="288" t="s">
        <v>146</v>
      </c>
      <c r="D122" s="231"/>
      <c r="E122" s="245">
        <v>522</v>
      </c>
      <c r="F122" s="290">
        <f>'Qtr 2 Budget'!H122</f>
        <v>0</v>
      </c>
      <c r="G122" s="398"/>
      <c r="H122" s="291">
        <f t="shared" si="102"/>
        <v>0</v>
      </c>
      <c r="I122" s="393"/>
      <c r="J122" s="290">
        <f>'Qtr 2 Budget'!L122</f>
        <v>0</v>
      </c>
      <c r="K122" s="398"/>
      <c r="L122" s="291">
        <f t="shared" si="103"/>
        <v>0</v>
      </c>
      <c r="M122" s="399"/>
      <c r="N122" s="290">
        <f t="shared" si="104"/>
        <v>0</v>
      </c>
      <c r="O122" s="291">
        <f t="shared" si="105"/>
        <v>0</v>
      </c>
      <c r="P122" s="291">
        <f t="shared" si="106"/>
        <v>0</v>
      </c>
      <c r="Q122" s="289">
        <f t="shared" si="107"/>
        <v>0</v>
      </c>
      <c r="R122" s="251">
        <f t="shared" si="108"/>
        <v>0</v>
      </c>
      <c r="S122" s="251" t="str">
        <f t="shared" si="109"/>
        <v/>
      </c>
      <c r="T122" s="407"/>
    </row>
    <row r="123" spans="1:20" ht="15" customHeight="1">
      <c r="A123" s="243">
        <f t="shared" si="55"/>
        <v>113</v>
      </c>
      <c r="B123" s="302"/>
      <c r="C123" s="288" t="s">
        <v>147</v>
      </c>
      <c r="D123" s="231"/>
      <c r="E123" s="245">
        <v>521</v>
      </c>
      <c r="F123" s="290">
        <f>'Qtr 2 Budget'!H123</f>
        <v>51000</v>
      </c>
      <c r="G123" s="398"/>
      <c r="H123" s="291">
        <f t="shared" si="102"/>
        <v>51000</v>
      </c>
      <c r="I123" s="393"/>
      <c r="J123" s="290">
        <f>'Qtr 2 Budget'!L123</f>
        <v>0</v>
      </c>
      <c r="K123" s="398"/>
      <c r="L123" s="291">
        <f t="shared" si="103"/>
        <v>0</v>
      </c>
      <c r="M123" s="399"/>
      <c r="N123" s="290">
        <f t="shared" si="104"/>
        <v>51000</v>
      </c>
      <c r="O123" s="291">
        <f t="shared" si="105"/>
        <v>0</v>
      </c>
      <c r="P123" s="291">
        <f t="shared" si="106"/>
        <v>51000</v>
      </c>
      <c r="Q123" s="289">
        <f t="shared" si="107"/>
        <v>0</v>
      </c>
      <c r="R123" s="251">
        <f t="shared" si="108"/>
        <v>1.0368673491036207E-2</v>
      </c>
      <c r="S123" s="251">
        <f t="shared" si="109"/>
        <v>0</v>
      </c>
      <c r="T123" s="407"/>
    </row>
    <row r="124" spans="1:20" ht="15" customHeight="1">
      <c r="A124" s="243">
        <f t="shared" si="55"/>
        <v>114</v>
      </c>
      <c r="B124" s="302"/>
      <c r="C124" s="288" t="s">
        <v>148</v>
      </c>
      <c r="D124" s="231"/>
      <c r="E124" s="245">
        <v>523</v>
      </c>
      <c r="F124" s="290">
        <f>'Qtr 2 Budget'!H124</f>
        <v>0</v>
      </c>
      <c r="G124" s="398"/>
      <c r="H124" s="291">
        <f t="shared" si="102"/>
        <v>0</v>
      </c>
      <c r="I124" s="393"/>
      <c r="J124" s="290">
        <f>'Qtr 2 Budget'!L124</f>
        <v>0</v>
      </c>
      <c r="K124" s="398"/>
      <c r="L124" s="291">
        <f t="shared" si="103"/>
        <v>0</v>
      </c>
      <c r="M124" s="399"/>
      <c r="N124" s="290">
        <f t="shared" si="104"/>
        <v>0</v>
      </c>
      <c r="O124" s="291">
        <f t="shared" si="105"/>
        <v>0</v>
      </c>
      <c r="P124" s="291">
        <f t="shared" si="106"/>
        <v>0</v>
      </c>
      <c r="Q124" s="289">
        <f t="shared" si="107"/>
        <v>0</v>
      </c>
      <c r="R124" s="251">
        <f t="shared" si="108"/>
        <v>0</v>
      </c>
      <c r="S124" s="251" t="str">
        <f t="shared" si="109"/>
        <v/>
      </c>
      <c r="T124" s="407"/>
    </row>
    <row r="125" spans="1:20" ht="15" customHeight="1">
      <c r="A125" s="243">
        <f t="shared" si="55"/>
        <v>115</v>
      </c>
      <c r="B125" s="302"/>
      <c r="C125" s="288" t="s">
        <v>149</v>
      </c>
      <c r="D125" s="231"/>
      <c r="E125" s="245">
        <v>524</v>
      </c>
      <c r="F125" s="290">
        <f>'Qtr 2 Budget'!H125</f>
        <v>0</v>
      </c>
      <c r="G125" s="398"/>
      <c r="H125" s="291">
        <f t="shared" si="102"/>
        <v>0</v>
      </c>
      <c r="I125" s="393"/>
      <c r="J125" s="290">
        <f>'Qtr 2 Budget'!L125</f>
        <v>0</v>
      </c>
      <c r="K125" s="398"/>
      <c r="L125" s="291">
        <f t="shared" si="103"/>
        <v>0</v>
      </c>
      <c r="M125" s="399"/>
      <c r="N125" s="290">
        <f t="shared" si="104"/>
        <v>0</v>
      </c>
      <c r="O125" s="291">
        <f t="shared" si="105"/>
        <v>0</v>
      </c>
      <c r="P125" s="291">
        <f t="shared" si="106"/>
        <v>0</v>
      </c>
      <c r="Q125" s="289">
        <f t="shared" si="107"/>
        <v>0</v>
      </c>
      <c r="R125" s="251">
        <f t="shared" si="108"/>
        <v>0</v>
      </c>
      <c r="S125" s="251" t="str">
        <f t="shared" si="109"/>
        <v/>
      </c>
      <c r="T125" s="407"/>
    </row>
    <row r="126" spans="1:20" ht="15" customHeight="1">
      <c r="A126" s="243">
        <f t="shared" si="55"/>
        <v>116</v>
      </c>
      <c r="B126" s="302"/>
      <c r="C126" s="244" t="s">
        <v>150</v>
      </c>
      <c r="D126" s="231"/>
      <c r="E126" s="245">
        <v>525</v>
      </c>
      <c r="F126" s="290">
        <f>'Qtr 2 Budget'!H126</f>
        <v>0</v>
      </c>
      <c r="G126" s="398"/>
      <c r="H126" s="291">
        <f t="shared" si="102"/>
        <v>0</v>
      </c>
      <c r="I126" s="393"/>
      <c r="J126" s="290">
        <f>'Qtr 2 Budget'!L126</f>
        <v>0</v>
      </c>
      <c r="K126" s="398"/>
      <c r="L126" s="291">
        <f t="shared" si="103"/>
        <v>0</v>
      </c>
      <c r="M126" s="399"/>
      <c r="N126" s="290">
        <f t="shared" si="104"/>
        <v>0</v>
      </c>
      <c r="O126" s="291">
        <f t="shared" si="105"/>
        <v>0</v>
      </c>
      <c r="P126" s="291">
        <f t="shared" si="106"/>
        <v>0</v>
      </c>
      <c r="Q126" s="289">
        <f t="shared" si="107"/>
        <v>0</v>
      </c>
      <c r="R126" s="251">
        <f t="shared" si="108"/>
        <v>0</v>
      </c>
      <c r="S126" s="251" t="str">
        <f t="shared" si="109"/>
        <v/>
      </c>
      <c r="T126" s="407"/>
    </row>
    <row r="127" spans="1:20" ht="17.25" customHeight="1">
      <c r="A127" s="243">
        <f t="shared" si="55"/>
        <v>117</v>
      </c>
      <c r="B127" s="244"/>
      <c r="C127" s="288" t="s">
        <v>115</v>
      </c>
      <c r="D127" s="231"/>
      <c r="E127" s="304" t="s">
        <v>100</v>
      </c>
      <c r="F127" s="290">
        <f>'Qtr 2 Budget'!H127</f>
        <v>0</v>
      </c>
      <c r="G127" s="398"/>
      <c r="H127" s="291">
        <f t="shared" si="102"/>
        <v>0</v>
      </c>
      <c r="I127" s="393"/>
      <c r="J127" s="290">
        <f>'Qtr 2 Budget'!L127</f>
        <v>267500</v>
      </c>
      <c r="K127" s="398"/>
      <c r="L127" s="291">
        <f t="shared" si="103"/>
        <v>267500</v>
      </c>
      <c r="M127" s="399"/>
      <c r="N127" s="290">
        <f t="shared" si="104"/>
        <v>267500</v>
      </c>
      <c r="O127" s="291">
        <f t="shared" si="105"/>
        <v>0</v>
      </c>
      <c r="P127" s="291">
        <f t="shared" si="106"/>
        <v>267500</v>
      </c>
      <c r="Q127" s="289">
        <f t="shared" si="107"/>
        <v>0</v>
      </c>
      <c r="R127" s="251">
        <f t="shared" si="108"/>
        <v>5.4384708997101669E-2</v>
      </c>
      <c r="S127" s="251">
        <f t="shared" si="109"/>
        <v>0</v>
      </c>
      <c r="T127" s="407"/>
    </row>
    <row r="128" spans="1:20" ht="17.25" customHeight="1">
      <c r="A128" s="243">
        <f t="shared" si="55"/>
        <v>118</v>
      </c>
      <c r="B128" s="244"/>
      <c r="C128" s="244" t="s">
        <v>17</v>
      </c>
      <c r="D128" s="231"/>
      <c r="E128" s="245" t="s">
        <v>131</v>
      </c>
      <c r="F128" s="290">
        <f>'Qtr 2 Budget'!H128</f>
        <v>20000</v>
      </c>
      <c r="G128" s="398"/>
      <c r="H128" s="291">
        <f t="shared" si="102"/>
        <v>20000</v>
      </c>
      <c r="I128" s="393"/>
      <c r="J128" s="290">
        <f>'Qtr 2 Budget'!L128</f>
        <v>0</v>
      </c>
      <c r="K128" s="398"/>
      <c r="L128" s="291">
        <f t="shared" si="103"/>
        <v>0</v>
      </c>
      <c r="M128" s="399"/>
      <c r="N128" s="290">
        <f t="shared" si="104"/>
        <v>20000</v>
      </c>
      <c r="O128" s="291">
        <f t="shared" si="105"/>
        <v>0</v>
      </c>
      <c r="P128" s="291">
        <f t="shared" si="106"/>
        <v>20000</v>
      </c>
      <c r="Q128" s="289">
        <f t="shared" si="107"/>
        <v>0</v>
      </c>
      <c r="R128" s="251">
        <f t="shared" si="108"/>
        <v>4.0661464670730223E-3</v>
      </c>
      <c r="S128" s="251">
        <f t="shared" si="109"/>
        <v>0</v>
      </c>
      <c r="T128" s="407"/>
    </row>
    <row r="129" spans="1:20" ht="15" customHeight="1">
      <c r="A129" s="243">
        <f t="shared" si="55"/>
        <v>119</v>
      </c>
      <c r="B129" s="244"/>
      <c r="C129" s="288" t="s">
        <v>201</v>
      </c>
      <c r="D129" s="231"/>
      <c r="E129" s="245" t="s">
        <v>121</v>
      </c>
      <c r="F129" s="290">
        <f>'Qtr 2 Budget'!H129</f>
        <v>104538.23917990293</v>
      </c>
      <c r="G129" s="398"/>
      <c r="H129" s="291">
        <f t="shared" si="102"/>
        <v>104538.23917990293</v>
      </c>
      <c r="I129" s="393"/>
      <c r="J129" s="290">
        <f>'Qtr 2 Budget'!L129</f>
        <v>0</v>
      </c>
      <c r="K129" s="398"/>
      <c r="L129" s="291">
        <f t="shared" si="103"/>
        <v>0</v>
      </c>
      <c r="M129" s="399"/>
      <c r="N129" s="290">
        <f t="shared" si="104"/>
        <v>104538.23917990293</v>
      </c>
      <c r="O129" s="291">
        <f t="shared" si="105"/>
        <v>0</v>
      </c>
      <c r="P129" s="291">
        <f t="shared" si="106"/>
        <v>104538.23917990293</v>
      </c>
      <c r="Q129" s="289">
        <f t="shared" si="107"/>
        <v>0</v>
      </c>
      <c r="R129" s="251">
        <f t="shared" si="108"/>
        <v>2.1253389595769844E-2</v>
      </c>
      <c r="S129" s="251">
        <f t="shared" si="109"/>
        <v>0</v>
      </c>
      <c r="T129" s="407"/>
    </row>
    <row r="130" spans="1:20" ht="15" customHeight="1">
      <c r="A130" s="256">
        <f t="shared" si="55"/>
        <v>120</v>
      </c>
      <c r="B130" s="257"/>
      <c r="C130" s="257" t="s">
        <v>104</v>
      </c>
      <c r="D130" s="341"/>
      <c r="E130" s="293">
        <v>500</v>
      </c>
      <c r="F130" s="294">
        <f>SUM(F121:F129)</f>
        <v>526898.23917990294</v>
      </c>
      <c r="G130" s="295">
        <f t="shared" ref="G130:Q130" si="110">SUM(G121:G129)</f>
        <v>0</v>
      </c>
      <c r="H130" s="295">
        <f t="shared" si="110"/>
        <v>526898.23917990294</v>
      </c>
      <c r="I130" s="296">
        <f t="shared" si="110"/>
        <v>0</v>
      </c>
      <c r="J130" s="294">
        <f t="shared" si="110"/>
        <v>267500</v>
      </c>
      <c r="K130" s="295">
        <f t="shared" si="110"/>
        <v>0</v>
      </c>
      <c r="L130" s="295">
        <f t="shared" si="110"/>
        <v>267500</v>
      </c>
      <c r="M130" s="296">
        <f t="shared" si="110"/>
        <v>0</v>
      </c>
      <c r="N130" s="294">
        <f t="shared" si="110"/>
        <v>794398.23917990294</v>
      </c>
      <c r="O130" s="295">
        <f t="shared" si="110"/>
        <v>0</v>
      </c>
      <c r="P130" s="295">
        <f t="shared" si="110"/>
        <v>794398.23917990294</v>
      </c>
      <c r="Q130" s="297">
        <f t="shared" si="110"/>
        <v>0</v>
      </c>
      <c r="R130" s="263">
        <f t="shared" si="108"/>
        <v>0.1615069796845196</v>
      </c>
      <c r="S130" s="263">
        <f t="shared" si="109"/>
        <v>0</v>
      </c>
      <c r="T130" s="408"/>
    </row>
    <row r="131" spans="1:20" ht="15" customHeight="1">
      <c r="A131" s="234">
        <f t="shared" si="55"/>
        <v>121</v>
      </c>
      <c r="B131" s="235" t="s">
        <v>83</v>
      </c>
      <c r="C131" s="235"/>
      <c r="D131" s="236"/>
      <c r="E131" s="237"/>
      <c r="F131" s="299"/>
      <c r="G131" s="300"/>
      <c r="H131" s="300"/>
      <c r="I131" s="240"/>
      <c r="J131" s="299"/>
      <c r="K131" s="300"/>
      <c r="L131" s="300"/>
      <c r="M131" s="301"/>
      <c r="N131" s="299"/>
      <c r="O131" s="300"/>
      <c r="P131" s="300"/>
      <c r="Q131" s="289"/>
      <c r="R131" s="251"/>
      <c r="S131" s="251"/>
      <c r="T131" s="414"/>
    </row>
    <row r="132" spans="1:20" ht="15" customHeight="1">
      <c r="A132" s="243">
        <f t="shared" si="55"/>
        <v>122</v>
      </c>
      <c r="B132" s="302"/>
      <c r="C132" s="303" t="s">
        <v>39</v>
      </c>
      <c r="D132" s="231"/>
      <c r="E132" s="245">
        <v>610</v>
      </c>
      <c r="F132" s="290">
        <f>'Qtr 2 Budget'!H132</f>
        <v>188750</v>
      </c>
      <c r="G132" s="398"/>
      <c r="H132" s="291">
        <f t="shared" ref="H132:H136" si="111">SUM(F132:G132)</f>
        <v>188750</v>
      </c>
      <c r="I132" s="393"/>
      <c r="J132" s="290">
        <f>'Qtr 2 Budget'!L132</f>
        <v>0</v>
      </c>
      <c r="K132" s="398"/>
      <c r="L132" s="291">
        <f t="shared" ref="L132:L136" si="112">SUM(J132:K132)</f>
        <v>0</v>
      </c>
      <c r="M132" s="399"/>
      <c r="N132" s="290">
        <f t="shared" ref="N132:N136" si="113">F132+J132</f>
        <v>188750</v>
      </c>
      <c r="O132" s="291">
        <f t="shared" ref="O132:O136" si="114">K132+G132</f>
        <v>0</v>
      </c>
      <c r="P132" s="291">
        <f t="shared" ref="P132:P136" si="115">SUM(N132:O132)</f>
        <v>188750</v>
      </c>
      <c r="Q132" s="289">
        <f t="shared" ref="Q132:Q136" si="116">M132+I132</f>
        <v>0</v>
      </c>
      <c r="R132" s="251">
        <f t="shared" ref="R132:R137" si="117">P132/$P$156</f>
        <v>3.8374257283001645E-2</v>
      </c>
      <c r="S132" s="251">
        <f t="shared" ref="S132:S137" si="118">IFERROR(Q132/P132,"")</f>
        <v>0</v>
      </c>
      <c r="T132" s="407"/>
    </row>
    <row r="133" spans="1:20" ht="15" customHeight="1">
      <c r="A133" s="243">
        <f t="shared" si="55"/>
        <v>123</v>
      </c>
      <c r="B133" s="302"/>
      <c r="C133" s="303" t="s">
        <v>71</v>
      </c>
      <c r="D133" s="231"/>
      <c r="E133" s="245" t="s">
        <v>18</v>
      </c>
      <c r="F133" s="290">
        <f>'Qtr 2 Budget'!H133</f>
        <v>112500</v>
      </c>
      <c r="G133" s="398"/>
      <c r="H133" s="291">
        <f t="shared" si="111"/>
        <v>112500</v>
      </c>
      <c r="I133" s="393"/>
      <c r="J133" s="290">
        <f>'Qtr 2 Budget'!L133</f>
        <v>0</v>
      </c>
      <c r="K133" s="398"/>
      <c r="L133" s="291">
        <f t="shared" si="112"/>
        <v>0</v>
      </c>
      <c r="M133" s="399"/>
      <c r="N133" s="290">
        <f t="shared" si="113"/>
        <v>112500</v>
      </c>
      <c r="O133" s="291">
        <f t="shared" si="114"/>
        <v>0</v>
      </c>
      <c r="P133" s="291">
        <f t="shared" si="115"/>
        <v>112500</v>
      </c>
      <c r="Q133" s="289">
        <f t="shared" si="116"/>
        <v>0</v>
      </c>
      <c r="R133" s="251">
        <f t="shared" si="117"/>
        <v>2.2872073877285747E-2</v>
      </c>
      <c r="S133" s="251">
        <f t="shared" si="118"/>
        <v>0</v>
      </c>
      <c r="T133" s="407"/>
    </row>
    <row r="134" spans="1:20" ht="17.25" customHeight="1">
      <c r="A134" s="243">
        <f t="shared" si="55"/>
        <v>124</v>
      </c>
      <c r="B134" s="302"/>
      <c r="C134" s="303" t="s">
        <v>37</v>
      </c>
      <c r="D134" s="231"/>
      <c r="E134" s="245" t="s">
        <v>101</v>
      </c>
      <c r="F134" s="290">
        <f>'Qtr 2 Budget'!H134</f>
        <v>0</v>
      </c>
      <c r="G134" s="398"/>
      <c r="H134" s="291">
        <f t="shared" si="111"/>
        <v>0</v>
      </c>
      <c r="I134" s="393"/>
      <c r="J134" s="290">
        <f>'Qtr 2 Budget'!L134</f>
        <v>0</v>
      </c>
      <c r="K134" s="398"/>
      <c r="L134" s="291">
        <f t="shared" si="112"/>
        <v>0</v>
      </c>
      <c r="M134" s="399"/>
      <c r="N134" s="290">
        <f t="shared" si="113"/>
        <v>0</v>
      </c>
      <c r="O134" s="291">
        <f t="shared" si="114"/>
        <v>0</v>
      </c>
      <c r="P134" s="291">
        <f t="shared" si="115"/>
        <v>0</v>
      </c>
      <c r="Q134" s="289">
        <f t="shared" si="116"/>
        <v>0</v>
      </c>
      <c r="R134" s="251">
        <f t="shared" si="117"/>
        <v>0</v>
      </c>
      <c r="S134" s="251" t="str">
        <f t="shared" si="118"/>
        <v/>
      </c>
      <c r="T134" s="407"/>
    </row>
    <row r="135" spans="1:20" ht="17.25" customHeight="1">
      <c r="A135" s="243">
        <f t="shared" si="55"/>
        <v>125</v>
      </c>
      <c r="B135" s="302"/>
      <c r="C135" s="244" t="s">
        <v>72</v>
      </c>
      <c r="D135" s="231"/>
      <c r="E135" s="245" t="s">
        <v>132</v>
      </c>
      <c r="F135" s="290">
        <f>'Qtr 2 Budget'!H135</f>
        <v>37500</v>
      </c>
      <c r="G135" s="398"/>
      <c r="H135" s="291">
        <f t="shared" si="111"/>
        <v>37500</v>
      </c>
      <c r="I135" s="393"/>
      <c r="J135" s="290">
        <f>'Qtr 2 Budget'!L135</f>
        <v>0</v>
      </c>
      <c r="K135" s="398"/>
      <c r="L135" s="291">
        <f t="shared" si="112"/>
        <v>0</v>
      </c>
      <c r="M135" s="399"/>
      <c r="N135" s="290">
        <f t="shared" si="113"/>
        <v>37500</v>
      </c>
      <c r="O135" s="291">
        <f t="shared" si="114"/>
        <v>0</v>
      </c>
      <c r="P135" s="291">
        <f t="shared" si="115"/>
        <v>37500</v>
      </c>
      <c r="Q135" s="289">
        <f t="shared" si="116"/>
        <v>0</v>
      </c>
      <c r="R135" s="251">
        <f t="shared" si="117"/>
        <v>7.6240246257619163E-3</v>
      </c>
      <c r="S135" s="251">
        <f t="shared" si="118"/>
        <v>0</v>
      </c>
      <c r="T135" s="407"/>
    </row>
    <row r="136" spans="1:20" ht="15" customHeight="1">
      <c r="A136" s="243">
        <f t="shared" si="55"/>
        <v>126</v>
      </c>
      <c r="B136" s="302"/>
      <c r="C136" s="288" t="s">
        <v>202</v>
      </c>
      <c r="D136" s="231"/>
      <c r="E136" s="245" t="s">
        <v>38</v>
      </c>
      <c r="F136" s="290">
        <f>'Qtr 2 Budget'!H136</f>
        <v>57500</v>
      </c>
      <c r="G136" s="398"/>
      <c r="H136" s="291">
        <f t="shared" si="111"/>
        <v>57500</v>
      </c>
      <c r="I136" s="393"/>
      <c r="J136" s="290">
        <f>'Qtr 2 Budget'!L136</f>
        <v>0</v>
      </c>
      <c r="K136" s="398"/>
      <c r="L136" s="291">
        <f t="shared" si="112"/>
        <v>0</v>
      </c>
      <c r="M136" s="399"/>
      <c r="N136" s="290">
        <f t="shared" si="113"/>
        <v>57500</v>
      </c>
      <c r="O136" s="291">
        <f t="shared" si="114"/>
        <v>0</v>
      </c>
      <c r="P136" s="291">
        <f t="shared" si="115"/>
        <v>57500</v>
      </c>
      <c r="Q136" s="289">
        <f t="shared" si="116"/>
        <v>0</v>
      </c>
      <c r="R136" s="251">
        <f t="shared" si="117"/>
        <v>1.1690171092834939E-2</v>
      </c>
      <c r="S136" s="251">
        <f t="shared" si="118"/>
        <v>0</v>
      </c>
      <c r="T136" s="407"/>
    </row>
    <row r="137" spans="1:20" ht="15" customHeight="1">
      <c r="A137" s="256">
        <f t="shared" si="55"/>
        <v>127</v>
      </c>
      <c r="B137" s="257"/>
      <c r="C137" s="257" t="s">
        <v>84</v>
      </c>
      <c r="D137" s="341"/>
      <c r="E137" s="293">
        <v>600</v>
      </c>
      <c r="F137" s="294">
        <f>SUM(F132:F136)</f>
        <v>396250</v>
      </c>
      <c r="G137" s="295">
        <f t="shared" ref="G137:Q137" si="119">SUM(G132:G136)</f>
        <v>0</v>
      </c>
      <c r="H137" s="295">
        <f t="shared" si="119"/>
        <v>396250</v>
      </c>
      <c r="I137" s="296">
        <f t="shared" si="119"/>
        <v>0</v>
      </c>
      <c r="J137" s="294">
        <f t="shared" si="119"/>
        <v>0</v>
      </c>
      <c r="K137" s="295">
        <f t="shared" si="119"/>
        <v>0</v>
      </c>
      <c r="L137" s="295">
        <f t="shared" si="119"/>
        <v>0</v>
      </c>
      <c r="M137" s="296">
        <f t="shared" si="119"/>
        <v>0</v>
      </c>
      <c r="N137" s="294">
        <f t="shared" si="119"/>
        <v>396250</v>
      </c>
      <c r="O137" s="295">
        <f t="shared" si="119"/>
        <v>0</v>
      </c>
      <c r="P137" s="295">
        <f t="shared" si="119"/>
        <v>396250</v>
      </c>
      <c r="Q137" s="297">
        <f t="shared" si="119"/>
        <v>0</v>
      </c>
      <c r="R137" s="263">
        <f t="shared" si="117"/>
        <v>8.056052687888425E-2</v>
      </c>
      <c r="S137" s="263">
        <f t="shared" si="118"/>
        <v>0</v>
      </c>
      <c r="T137" s="408"/>
    </row>
    <row r="138" spans="1:20" ht="15" customHeight="1">
      <c r="A138" s="234">
        <f t="shared" si="55"/>
        <v>128</v>
      </c>
      <c r="B138" s="235" t="s">
        <v>85</v>
      </c>
      <c r="C138" s="235"/>
      <c r="D138" s="236"/>
      <c r="E138" s="237"/>
      <c r="F138" s="299"/>
      <c r="G138" s="300"/>
      <c r="H138" s="300"/>
      <c r="I138" s="240"/>
      <c r="J138" s="299"/>
      <c r="K138" s="300"/>
      <c r="L138" s="300"/>
      <c r="M138" s="301"/>
      <c r="N138" s="299"/>
      <c r="O138" s="300"/>
      <c r="P138" s="300"/>
      <c r="Q138" s="289"/>
      <c r="R138" s="251"/>
      <c r="S138" s="251"/>
      <c r="T138" s="414"/>
    </row>
    <row r="139" spans="1:20" ht="15" customHeight="1">
      <c r="A139" s="243">
        <f t="shared" si="55"/>
        <v>129</v>
      </c>
      <c r="B139" s="302"/>
      <c r="C139" s="288" t="s">
        <v>122</v>
      </c>
      <c r="D139" s="231"/>
      <c r="E139" s="245">
        <v>710</v>
      </c>
      <c r="F139" s="290">
        <f>'Qtr 2 Budget'!H139</f>
        <v>0</v>
      </c>
      <c r="G139" s="398"/>
      <c r="H139" s="291">
        <f t="shared" ref="H139:H142" si="120">SUM(F139:G139)</f>
        <v>0</v>
      </c>
      <c r="I139" s="393"/>
      <c r="J139" s="290">
        <f>'Qtr 2 Budget'!L139</f>
        <v>0</v>
      </c>
      <c r="K139" s="398"/>
      <c r="L139" s="291">
        <f t="shared" ref="L139:L142" si="121">SUM(J139:K139)</f>
        <v>0</v>
      </c>
      <c r="M139" s="399"/>
      <c r="N139" s="290">
        <f t="shared" ref="N139:N142" si="122">F139+J139</f>
        <v>0</v>
      </c>
      <c r="O139" s="291">
        <f t="shared" ref="O139:O142" si="123">K139+G139</f>
        <v>0</v>
      </c>
      <c r="P139" s="291">
        <f t="shared" ref="P139:P142" si="124">SUM(N139:O139)</f>
        <v>0</v>
      </c>
      <c r="Q139" s="289">
        <f t="shared" ref="Q139:Q142" si="125">M139+I139</f>
        <v>0</v>
      </c>
      <c r="R139" s="251">
        <f t="shared" ref="R139:R143" si="126">P139/$P$156</f>
        <v>0</v>
      </c>
      <c r="S139" s="251" t="str">
        <f t="shared" ref="S139:S143" si="127">IFERROR(Q139/P139,"")</f>
        <v/>
      </c>
      <c r="T139" s="407"/>
    </row>
    <row r="140" spans="1:20" ht="17.25" customHeight="1">
      <c r="A140" s="243">
        <f t="shared" si="55"/>
        <v>130</v>
      </c>
      <c r="B140" s="302"/>
      <c r="C140" s="288" t="s">
        <v>73</v>
      </c>
      <c r="D140" s="231"/>
      <c r="E140" s="245">
        <v>720</v>
      </c>
      <c r="F140" s="290">
        <f>'Qtr 2 Budget'!H140</f>
        <v>0</v>
      </c>
      <c r="G140" s="398"/>
      <c r="H140" s="291">
        <f t="shared" si="120"/>
        <v>0</v>
      </c>
      <c r="I140" s="393"/>
      <c r="J140" s="290">
        <f>'Qtr 2 Budget'!L140</f>
        <v>0</v>
      </c>
      <c r="K140" s="398"/>
      <c r="L140" s="291">
        <f t="shared" si="121"/>
        <v>0</v>
      </c>
      <c r="M140" s="399"/>
      <c r="N140" s="290">
        <f t="shared" si="122"/>
        <v>0</v>
      </c>
      <c r="O140" s="291">
        <f t="shared" si="123"/>
        <v>0</v>
      </c>
      <c r="P140" s="291">
        <f t="shared" si="124"/>
        <v>0</v>
      </c>
      <c r="Q140" s="289">
        <f t="shared" si="125"/>
        <v>0</v>
      </c>
      <c r="R140" s="251">
        <f t="shared" si="126"/>
        <v>0</v>
      </c>
      <c r="S140" s="251" t="str">
        <f t="shared" si="127"/>
        <v/>
      </c>
      <c r="T140" s="407"/>
    </row>
    <row r="141" spans="1:20" ht="17.25" customHeight="1">
      <c r="A141" s="243">
        <f t="shared" si="55"/>
        <v>131</v>
      </c>
      <c r="B141" s="302"/>
      <c r="C141" s="303" t="s">
        <v>19</v>
      </c>
      <c r="D141" s="231"/>
      <c r="E141" s="245" t="s">
        <v>123</v>
      </c>
      <c r="F141" s="290">
        <f>'Qtr 2 Budget'!H141</f>
        <v>0</v>
      </c>
      <c r="G141" s="398"/>
      <c r="H141" s="291">
        <f t="shared" si="120"/>
        <v>0</v>
      </c>
      <c r="I141" s="393"/>
      <c r="J141" s="290">
        <f>'Qtr 2 Budget'!L141</f>
        <v>0</v>
      </c>
      <c r="K141" s="398"/>
      <c r="L141" s="291">
        <f t="shared" si="121"/>
        <v>0</v>
      </c>
      <c r="M141" s="399"/>
      <c r="N141" s="290">
        <f t="shared" si="122"/>
        <v>0</v>
      </c>
      <c r="O141" s="291">
        <f t="shared" si="123"/>
        <v>0</v>
      </c>
      <c r="P141" s="291">
        <f t="shared" si="124"/>
        <v>0</v>
      </c>
      <c r="Q141" s="289">
        <f t="shared" si="125"/>
        <v>0</v>
      </c>
      <c r="R141" s="251">
        <f t="shared" si="126"/>
        <v>0</v>
      </c>
      <c r="S141" s="251" t="str">
        <f t="shared" si="127"/>
        <v/>
      </c>
      <c r="T141" s="407"/>
    </row>
    <row r="142" spans="1:20" ht="14.25" customHeight="1">
      <c r="A142" s="243">
        <f t="shared" ref="A142:A156" si="128">A141+1</f>
        <v>132</v>
      </c>
      <c r="B142" s="244"/>
      <c r="C142" s="303" t="s">
        <v>203</v>
      </c>
      <c r="D142" s="231"/>
      <c r="E142" s="245" t="s">
        <v>124</v>
      </c>
      <c r="F142" s="290">
        <f>'Qtr 2 Budget'!H142</f>
        <v>0</v>
      </c>
      <c r="G142" s="398"/>
      <c r="H142" s="291">
        <f t="shared" si="120"/>
        <v>0</v>
      </c>
      <c r="I142" s="393"/>
      <c r="J142" s="290">
        <f>'Qtr 2 Budget'!L142</f>
        <v>0</v>
      </c>
      <c r="K142" s="398"/>
      <c r="L142" s="291">
        <f t="shared" si="121"/>
        <v>0</v>
      </c>
      <c r="M142" s="399"/>
      <c r="N142" s="290">
        <f t="shared" si="122"/>
        <v>0</v>
      </c>
      <c r="O142" s="291">
        <f t="shared" si="123"/>
        <v>0</v>
      </c>
      <c r="P142" s="291">
        <f t="shared" si="124"/>
        <v>0</v>
      </c>
      <c r="Q142" s="289">
        <f t="shared" si="125"/>
        <v>0</v>
      </c>
      <c r="R142" s="251">
        <f t="shared" si="126"/>
        <v>0</v>
      </c>
      <c r="S142" s="251" t="str">
        <f t="shared" si="127"/>
        <v/>
      </c>
      <c r="T142" s="407"/>
    </row>
    <row r="143" spans="1:20" ht="15" customHeight="1">
      <c r="A143" s="256">
        <f t="shared" si="128"/>
        <v>133</v>
      </c>
      <c r="B143" s="257"/>
      <c r="C143" s="257" t="s">
        <v>86</v>
      </c>
      <c r="D143" s="341"/>
      <c r="E143" s="293">
        <v>700</v>
      </c>
      <c r="F143" s="294">
        <f>SUM(F139:F142)</f>
        <v>0</v>
      </c>
      <c r="G143" s="295">
        <f t="shared" ref="G143:Q143" si="129">SUM(G139:G142)</f>
        <v>0</v>
      </c>
      <c r="H143" s="295">
        <f t="shared" si="129"/>
        <v>0</v>
      </c>
      <c r="I143" s="296">
        <f t="shared" si="129"/>
        <v>0</v>
      </c>
      <c r="J143" s="294">
        <f t="shared" si="129"/>
        <v>0</v>
      </c>
      <c r="K143" s="295">
        <f t="shared" si="129"/>
        <v>0</v>
      </c>
      <c r="L143" s="295">
        <f t="shared" si="129"/>
        <v>0</v>
      </c>
      <c r="M143" s="296">
        <f t="shared" si="129"/>
        <v>0</v>
      </c>
      <c r="N143" s="294">
        <f t="shared" si="129"/>
        <v>0</v>
      </c>
      <c r="O143" s="295">
        <f t="shared" si="129"/>
        <v>0</v>
      </c>
      <c r="P143" s="295">
        <f t="shared" si="129"/>
        <v>0</v>
      </c>
      <c r="Q143" s="297">
        <f t="shared" si="129"/>
        <v>0</v>
      </c>
      <c r="R143" s="263">
        <f t="shared" si="126"/>
        <v>0</v>
      </c>
      <c r="S143" s="263" t="str">
        <f t="shared" si="127"/>
        <v/>
      </c>
      <c r="T143" s="408"/>
    </row>
    <row r="144" spans="1:20" ht="15" customHeight="1">
      <c r="A144" s="234">
        <f t="shared" si="128"/>
        <v>134</v>
      </c>
      <c r="B144" s="235" t="s">
        <v>87</v>
      </c>
      <c r="C144" s="235"/>
      <c r="D144" s="236"/>
      <c r="E144" s="237"/>
      <c r="F144" s="299"/>
      <c r="G144" s="300"/>
      <c r="H144" s="300"/>
      <c r="I144" s="240"/>
      <c r="J144" s="299"/>
      <c r="K144" s="300"/>
      <c r="L144" s="300"/>
      <c r="M144" s="301"/>
      <c r="N144" s="299"/>
      <c r="O144" s="300"/>
      <c r="P144" s="300"/>
      <c r="Q144" s="289"/>
      <c r="R144" s="251"/>
      <c r="S144" s="251"/>
      <c r="T144" s="414"/>
    </row>
    <row r="145" spans="1:20" ht="15" customHeight="1">
      <c r="A145" s="243">
        <f t="shared" si="128"/>
        <v>135</v>
      </c>
      <c r="B145" s="302"/>
      <c r="C145" s="303" t="s">
        <v>144</v>
      </c>
      <c r="D145" s="231"/>
      <c r="E145" s="245">
        <v>810</v>
      </c>
      <c r="F145" s="290">
        <f>'Qtr 2 Budget'!H145</f>
        <v>71000</v>
      </c>
      <c r="G145" s="398"/>
      <c r="H145" s="291">
        <f t="shared" ref="H145:H149" si="130">SUM(F145:G145)</f>
        <v>71000</v>
      </c>
      <c r="I145" s="393"/>
      <c r="J145" s="290">
        <f>'Qtr 2 Budget'!L145</f>
        <v>0</v>
      </c>
      <c r="K145" s="398"/>
      <c r="L145" s="291">
        <f t="shared" ref="L145:L149" si="131">SUM(J145:K145)</f>
        <v>0</v>
      </c>
      <c r="M145" s="399"/>
      <c r="N145" s="290">
        <f t="shared" ref="N145:N149" si="132">F145+J145</f>
        <v>71000</v>
      </c>
      <c r="O145" s="291">
        <f t="shared" ref="O145:O149" si="133">K145+G145</f>
        <v>0</v>
      </c>
      <c r="P145" s="291">
        <f t="shared" ref="P145:P149" si="134">SUM(N145:O145)</f>
        <v>71000</v>
      </c>
      <c r="Q145" s="289">
        <f t="shared" ref="Q145:Q149" si="135">M145+I145</f>
        <v>0</v>
      </c>
      <c r="R145" s="251">
        <f t="shared" ref="R145:R150" si="136">P145/$P$156</f>
        <v>1.4434819958109229E-2</v>
      </c>
      <c r="S145" s="251">
        <f t="shared" ref="S145:S150" si="137">IFERROR(Q145/P145,"")</f>
        <v>0</v>
      </c>
      <c r="T145" s="407"/>
    </row>
    <row r="146" spans="1:20" ht="15" customHeight="1">
      <c r="A146" s="243">
        <f t="shared" si="128"/>
        <v>136</v>
      </c>
      <c r="B146" s="302"/>
      <c r="C146" s="303" t="s">
        <v>145</v>
      </c>
      <c r="D146" s="231"/>
      <c r="E146" s="245">
        <v>810</v>
      </c>
      <c r="F146" s="290">
        <f>'Qtr 2 Budget'!H146</f>
        <v>0</v>
      </c>
      <c r="G146" s="398"/>
      <c r="H146" s="291">
        <f t="shared" si="130"/>
        <v>0</v>
      </c>
      <c r="I146" s="393"/>
      <c r="J146" s="290">
        <f>'Qtr 2 Budget'!L146</f>
        <v>0</v>
      </c>
      <c r="K146" s="398"/>
      <c r="L146" s="291">
        <f t="shared" si="131"/>
        <v>0</v>
      </c>
      <c r="M146" s="399"/>
      <c r="N146" s="290">
        <f t="shared" si="132"/>
        <v>0</v>
      </c>
      <c r="O146" s="291">
        <f t="shared" si="133"/>
        <v>0</v>
      </c>
      <c r="P146" s="291">
        <f t="shared" si="134"/>
        <v>0</v>
      </c>
      <c r="Q146" s="289">
        <f t="shared" si="135"/>
        <v>0</v>
      </c>
      <c r="R146" s="251">
        <f t="shared" si="136"/>
        <v>0</v>
      </c>
      <c r="S146" s="251" t="str">
        <f t="shared" si="137"/>
        <v/>
      </c>
      <c r="T146" s="407"/>
    </row>
    <row r="147" spans="1:20" ht="17.25" customHeight="1">
      <c r="A147" s="243">
        <f t="shared" si="128"/>
        <v>137</v>
      </c>
      <c r="B147" s="302"/>
      <c r="C147" s="288" t="s">
        <v>25</v>
      </c>
      <c r="D147" s="231"/>
      <c r="E147" s="245">
        <v>830</v>
      </c>
      <c r="F147" s="290">
        <f>'Qtr 2 Budget'!H147</f>
        <v>0</v>
      </c>
      <c r="G147" s="398"/>
      <c r="H147" s="291">
        <f t="shared" si="130"/>
        <v>0</v>
      </c>
      <c r="I147" s="393"/>
      <c r="J147" s="290">
        <f>'Qtr 2 Budget'!L147</f>
        <v>0</v>
      </c>
      <c r="K147" s="398"/>
      <c r="L147" s="291">
        <f t="shared" si="131"/>
        <v>0</v>
      </c>
      <c r="M147" s="399"/>
      <c r="N147" s="290">
        <f t="shared" si="132"/>
        <v>0</v>
      </c>
      <c r="O147" s="291">
        <f t="shared" si="133"/>
        <v>0</v>
      </c>
      <c r="P147" s="291">
        <f t="shared" si="134"/>
        <v>0</v>
      </c>
      <c r="Q147" s="289">
        <f t="shared" si="135"/>
        <v>0</v>
      </c>
      <c r="R147" s="251">
        <f t="shared" si="136"/>
        <v>0</v>
      </c>
      <c r="S147" s="251" t="str">
        <f t="shared" si="137"/>
        <v/>
      </c>
      <c r="T147" s="407"/>
    </row>
    <row r="148" spans="1:20" ht="17.25" customHeight="1">
      <c r="A148" s="243">
        <f t="shared" si="128"/>
        <v>138</v>
      </c>
      <c r="B148" s="302"/>
      <c r="C148" s="288" t="s">
        <v>127</v>
      </c>
      <c r="D148" s="231"/>
      <c r="E148" s="245">
        <v>831</v>
      </c>
      <c r="F148" s="290">
        <f>'Qtr 2 Budget'!H148</f>
        <v>0</v>
      </c>
      <c r="G148" s="398"/>
      <c r="H148" s="291">
        <f t="shared" si="130"/>
        <v>0</v>
      </c>
      <c r="I148" s="393"/>
      <c r="J148" s="290">
        <f>'Qtr 2 Budget'!L148</f>
        <v>0</v>
      </c>
      <c r="K148" s="398"/>
      <c r="L148" s="291">
        <f t="shared" si="131"/>
        <v>0</v>
      </c>
      <c r="M148" s="399"/>
      <c r="N148" s="290">
        <f t="shared" si="132"/>
        <v>0</v>
      </c>
      <c r="O148" s="291">
        <f t="shared" si="133"/>
        <v>0</v>
      </c>
      <c r="P148" s="291">
        <f t="shared" si="134"/>
        <v>0</v>
      </c>
      <c r="Q148" s="289">
        <f t="shared" si="135"/>
        <v>0</v>
      </c>
      <c r="R148" s="251">
        <f t="shared" si="136"/>
        <v>0</v>
      </c>
      <c r="S148" s="251" t="str">
        <f t="shared" si="137"/>
        <v/>
      </c>
      <c r="T148" s="407"/>
    </row>
    <row r="149" spans="1:20" ht="15" customHeight="1">
      <c r="A149" s="243">
        <f t="shared" si="128"/>
        <v>139</v>
      </c>
      <c r="B149" s="302"/>
      <c r="C149" s="288" t="s">
        <v>204</v>
      </c>
      <c r="D149" s="231"/>
      <c r="E149" s="245" t="s">
        <v>125</v>
      </c>
      <c r="F149" s="290">
        <f>'Qtr 2 Budget'!H149</f>
        <v>0</v>
      </c>
      <c r="G149" s="398"/>
      <c r="H149" s="291">
        <f t="shared" si="130"/>
        <v>0</v>
      </c>
      <c r="I149" s="393"/>
      <c r="J149" s="290">
        <f>'Qtr 2 Budget'!L149</f>
        <v>0</v>
      </c>
      <c r="K149" s="398"/>
      <c r="L149" s="291">
        <f t="shared" si="131"/>
        <v>0</v>
      </c>
      <c r="M149" s="399"/>
      <c r="N149" s="290">
        <f t="shared" si="132"/>
        <v>0</v>
      </c>
      <c r="O149" s="291">
        <f t="shared" si="133"/>
        <v>0</v>
      </c>
      <c r="P149" s="291">
        <f t="shared" si="134"/>
        <v>0</v>
      </c>
      <c r="Q149" s="289">
        <f t="shared" si="135"/>
        <v>0</v>
      </c>
      <c r="R149" s="251">
        <f t="shared" si="136"/>
        <v>0</v>
      </c>
      <c r="S149" s="251" t="str">
        <f t="shared" si="137"/>
        <v/>
      </c>
      <c r="T149" s="407"/>
    </row>
    <row r="150" spans="1:20" ht="15" customHeight="1">
      <c r="A150" s="243">
        <f t="shared" si="128"/>
        <v>140</v>
      </c>
      <c r="B150" s="257"/>
      <c r="C150" s="257" t="s">
        <v>88</v>
      </c>
      <c r="D150" s="341"/>
      <c r="E150" s="293">
        <v>800</v>
      </c>
      <c r="F150" s="294">
        <f>SUM(F145:F149)</f>
        <v>71000</v>
      </c>
      <c r="G150" s="295">
        <f t="shared" ref="G150:Q150" si="138">SUM(G145:G149)</f>
        <v>0</v>
      </c>
      <c r="H150" s="295">
        <f t="shared" si="138"/>
        <v>71000</v>
      </c>
      <c r="I150" s="296">
        <f t="shared" si="138"/>
        <v>0</v>
      </c>
      <c r="J150" s="294">
        <f t="shared" si="138"/>
        <v>0</v>
      </c>
      <c r="K150" s="295">
        <f t="shared" si="138"/>
        <v>0</v>
      </c>
      <c r="L150" s="295">
        <f t="shared" si="138"/>
        <v>0</v>
      </c>
      <c r="M150" s="296">
        <f t="shared" si="138"/>
        <v>0</v>
      </c>
      <c r="N150" s="294">
        <f t="shared" si="138"/>
        <v>71000</v>
      </c>
      <c r="O150" s="295">
        <f t="shared" si="138"/>
        <v>0</v>
      </c>
      <c r="P150" s="295">
        <f t="shared" si="138"/>
        <v>71000</v>
      </c>
      <c r="Q150" s="297">
        <f t="shared" si="138"/>
        <v>0</v>
      </c>
      <c r="R150" s="263">
        <f t="shared" si="136"/>
        <v>1.4434819958109229E-2</v>
      </c>
      <c r="S150" s="263">
        <f t="shared" si="137"/>
        <v>0</v>
      </c>
      <c r="T150" s="408"/>
    </row>
    <row r="151" spans="1:20" ht="15" customHeight="1">
      <c r="A151" s="342">
        <f t="shared" si="128"/>
        <v>141</v>
      </c>
      <c r="B151" s="235" t="s">
        <v>90</v>
      </c>
      <c r="C151" s="235"/>
      <c r="D151" s="236"/>
      <c r="E151" s="237"/>
      <c r="F151" s="299"/>
      <c r="G151" s="300"/>
      <c r="H151" s="300"/>
      <c r="I151" s="240"/>
      <c r="J151" s="299"/>
      <c r="K151" s="300"/>
      <c r="L151" s="300"/>
      <c r="M151" s="301"/>
      <c r="N151" s="299"/>
      <c r="O151" s="300"/>
      <c r="P151" s="300"/>
      <c r="Q151" s="289"/>
      <c r="R151" s="251"/>
      <c r="S151" s="251"/>
      <c r="T151" s="414"/>
    </row>
    <row r="152" spans="1:20" ht="17.25" customHeight="1">
      <c r="A152" s="243">
        <f t="shared" si="128"/>
        <v>142</v>
      </c>
      <c r="B152" s="302"/>
      <c r="C152" s="244" t="s">
        <v>20</v>
      </c>
      <c r="D152" s="231"/>
      <c r="E152" s="245">
        <v>933</v>
      </c>
      <c r="F152" s="290">
        <f>'Qtr 2 Budget'!H152</f>
        <v>0</v>
      </c>
      <c r="G152" s="398"/>
      <c r="H152" s="291">
        <f t="shared" ref="H152:H154" si="139">SUM(F152:G152)</f>
        <v>0</v>
      </c>
      <c r="I152" s="393"/>
      <c r="J152" s="290">
        <f>'Qtr 2 Budget'!L152</f>
        <v>0</v>
      </c>
      <c r="K152" s="398"/>
      <c r="L152" s="291">
        <f t="shared" ref="L152:L154" si="140">SUM(J152:K152)</f>
        <v>0</v>
      </c>
      <c r="M152" s="399"/>
      <c r="N152" s="290">
        <f t="shared" ref="N152:N154" si="141">F152+J152</f>
        <v>0</v>
      </c>
      <c r="O152" s="291">
        <f t="shared" ref="O152:O154" si="142">K152+G152</f>
        <v>0</v>
      </c>
      <c r="P152" s="291">
        <f t="shared" ref="P152:P154" si="143">SUM(N152:O152)</f>
        <v>0</v>
      </c>
      <c r="Q152" s="289">
        <f t="shared" ref="Q152:Q154" si="144">M152+I152</f>
        <v>0</v>
      </c>
      <c r="R152" s="251">
        <f t="shared" ref="R152:R156" si="145">P152/$P$156</f>
        <v>0</v>
      </c>
      <c r="S152" s="251" t="str">
        <f t="shared" ref="S152:S156" si="146">IFERROR(Q152/P152,"")</f>
        <v/>
      </c>
      <c r="T152" s="407"/>
    </row>
    <row r="153" spans="1:20" ht="17.25" customHeight="1">
      <c r="A153" s="243">
        <f t="shared" si="128"/>
        <v>143</v>
      </c>
      <c r="B153" s="302"/>
      <c r="C153" s="244" t="s">
        <v>205</v>
      </c>
      <c r="D153" s="231"/>
      <c r="E153" s="245" t="s">
        <v>126</v>
      </c>
      <c r="F153" s="290">
        <f>'Qtr 2 Budget'!H153</f>
        <v>0</v>
      </c>
      <c r="G153" s="398"/>
      <c r="H153" s="291">
        <f t="shared" si="139"/>
        <v>0</v>
      </c>
      <c r="I153" s="393"/>
      <c r="J153" s="290">
        <f>'Qtr 2 Budget'!L153</f>
        <v>0</v>
      </c>
      <c r="K153" s="398"/>
      <c r="L153" s="291">
        <f t="shared" si="140"/>
        <v>0</v>
      </c>
      <c r="M153" s="399"/>
      <c r="N153" s="290">
        <f t="shared" si="141"/>
        <v>0</v>
      </c>
      <c r="O153" s="291">
        <f t="shared" si="142"/>
        <v>0</v>
      </c>
      <c r="P153" s="291">
        <f t="shared" si="143"/>
        <v>0</v>
      </c>
      <c r="Q153" s="289">
        <f t="shared" si="144"/>
        <v>0</v>
      </c>
      <c r="R153" s="251">
        <f t="shared" si="145"/>
        <v>0</v>
      </c>
      <c r="S153" s="251" t="str">
        <f t="shared" si="146"/>
        <v/>
      </c>
      <c r="T153" s="407"/>
    </row>
    <row r="154" spans="1:20" ht="15" customHeight="1">
      <c r="A154" s="243">
        <f t="shared" si="128"/>
        <v>144</v>
      </c>
      <c r="B154" s="396"/>
      <c r="C154" s="403"/>
      <c r="D154" s="394"/>
      <c r="E154" s="395"/>
      <c r="F154" s="290">
        <f>'Qtr 2 Budget'!H154</f>
        <v>-185000</v>
      </c>
      <c r="G154" s="398"/>
      <c r="H154" s="291">
        <f t="shared" si="139"/>
        <v>-185000</v>
      </c>
      <c r="I154" s="393"/>
      <c r="J154" s="290">
        <f>'Qtr 2 Budget'!L154</f>
        <v>0</v>
      </c>
      <c r="K154" s="398"/>
      <c r="L154" s="291">
        <f t="shared" si="140"/>
        <v>0</v>
      </c>
      <c r="M154" s="399"/>
      <c r="N154" s="290">
        <f t="shared" si="141"/>
        <v>-185000</v>
      </c>
      <c r="O154" s="291">
        <f t="shared" si="142"/>
        <v>0</v>
      </c>
      <c r="P154" s="291">
        <f t="shared" si="143"/>
        <v>-185000</v>
      </c>
      <c r="Q154" s="289">
        <f t="shared" si="144"/>
        <v>0</v>
      </c>
      <c r="R154" s="251">
        <f t="shared" si="145"/>
        <v>-3.761185482042545E-2</v>
      </c>
      <c r="S154" s="251">
        <f t="shared" si="146"/>
        <v>0</v>
      </c>
      <c r="T154" s="407"/>
    </row>
    <row r="155" spans="1:20" ht="21" customHeight="1">
      <c r="A155" s="343">
        <f t="shared" si="128"/>
        <v>145</v>
      </c>
      <c r="B155" s="257"/>
      <c r="C155" s="257" t="s">
        <v>89</v>
      </c>
      <c r="D155" s="258"/>
      <c r="E155" s="293">
        <v>900</v>
      </c>
      <c r="F155" s="294">
        <f>SUM(F152:F154)</f>
        <v>-185000</v>
      </c>
      <c r="G155" s="295">
        <f t="shared" ref="G155:Q155" si="147">SUM(G152:G154)</f>
        <v>0</v>
      </c>
      <c r="H155" s="295">
        <f t="shared" si="147"/>
        <v>-185000</v>
      </c>
      <c r="I155" s="296">
        <f t="shared" si="147"/>
        <v>0</v>
      </c>
      <c r="J155" s="294">
        <f t="shared" si="147"/>
        <v>0</v>
      </c>
      <c r="K155" s="295">
        <f t="shared" si="147"/>
        <v>0</v>
      </c>
      <c r="L155" s="295">
        <f t="shared" si="147"/>
        <v>0</v>
      </c>
      <c r="M155" s="296">
        <f t="shared" si="147"/>
        <v>0</v>
      </c>
      <c r="N155" s="294">
        <f t="shared" si="147"/>
        <v>-185000</v>
      </c>
      <c r="O155" s="295">
        <f t="shared" si="147"/>
        <v>0</v>
      </c>
      <c r="P155" s="295">
        <f t="shared" si="147"/>
        <v>-185000</v>
      </c>
      <c r="Q155" s="297">
        <f t="shared" si="147"/>
        <v>0</v>
      </c>
      <c r="R155" s="344">
        <f t="shared" si="145"/>
        <v>-3.761185482042545E-2</v>
      </c>
      <c r="S155" s="344">
        <f t="shared" si="146"/>
        <v>0</v>
      </c>
      <c r="T155" s="421"/>
    </row>
    <row r="156" spans="1:20" ht="18.75" customHeight="1" thickBot="1">
      <c r="A156" s="220">
        <f t="shared" si="128"/>
        <v>146</v>
      </c>
      <c r="B156" s="189"/>
      <c r="C156" s="189"/>
      <c r="D156" s="200" t="s">
        <v>21</v>
      </c>
      <c r="E156" s="201" t="s">
        <v>22</v>
      </c>
      <c r="F156" s="222">
        <f>F97+F106+F112+F119+F130+F137+F143+F150+F155</f>
        <v>3297031.9719571527</v>
      </c>
      <c r="G156" s="225">
        <f t="shared" ref="G156:Q156" si="148">G97+G106+G112+G119+G130+G137+G143+G150+G155</f>
        <v>0</v>
      </c>
      <c r="H156" s="225">
        <f t="shared" si="148"/>
        <v>3297031.9719571527</v>
      </c>
      <c r="I156" s="193">
        <f t="shared" si="148"/>
        <v>0</v>
      </c>
      <c r="J156" s="222">
        <f t="shared" si="148"/>
        <v>1621630</v>
      </c>
      <c r="K156" s="225">
        <f t="shared" si="148"/>
        <v>0</v>
      </c>
      <c r="L156" s="225">
        <f t="shared" si="148"/>
        <v>1621630</v>
      </c>
      <c r="M156" s="193">
        <f t="shared" si="148"/>
        <v>0</v>
      </c>
      <c r="N156" s="222">
        <f t="shared" si="148"/>
        <v>4918661.9719571527</v>
      </c>
      <c r="O156" s="225">
        <f t="shared" si="148"/>
        <v>0</v>
      </c>
      <c r="P156" s="225">
        <f t="shared" si="148"/>
        <v>4918661.9719571527</v>
      </c>
      <c r="Q156" s="192">
        <f t="shared" si="148"/>
        <v>0</v>
      </c>
      <c r="R156" s="194">
        <f t="shared" si="145"/>
        <v>1</v>
      </c>
      <c r="S156" s="194">
        <f t="shared" si="146"/>
        <v>0</v>
      </c>
      <c r="T156" s="415"/>
    </row>
    <row r="157" spans="1:20" ht="18.75" customHeight="1" thickTop="1" thickBot="1">
      <c r="A157" s="132"/>
      <c r="B157" s="71"/>
      <c r="C157" s="71"/>
      <c r="D157" s="71"/>
      <c r="E157" s="72"/>
      <c r="F157" s="1"/>
      <c r="G157" s="1"/>
      <c r="H157" s="1"/>
      <c r="I157" s="73"/>
      <c r="J157" s="1"/>
      <c r="K157" s="1"/>
      <c r="L157" s="1"/>
      <c r="M157" s="1"/>
      <c r="N157" s="1"/>
      <c r="O157" s="1"/>
      <c r="P157" s="1"/>
      <c r="Q157" s="69"/>
      <c r="R157" s="69"/>
      <c r="S157" s="69"/>
      <c r="T157" s="69"/>
    </row>
    <row r="158" spans="1:20" ht="18.75" customHeight="1" thickTop="1">
      <c r="A158" s="132"/>
      <c r="B158" s="69"/>
      <c r="C158" s="72"/>
      <c r="D158" s="212"/>
      <c r="E158" s="213" t="s">
        <v>105</v>
      </c>
      <c r="F158" s="202">
        <f>F85-F156</f>
        <v>1752.2607350004837</v>
      </c>
      <c r="G158" s="203">
        <f t="shared" ref="G158:Q158" si="149">G85-G156</f>
        <v>0</v>
      </c>
      <c r="H158" s="203">
        <f t="shared" si="149"/>
        <v>1752.2607350004837</v>
      </c>
      <c r="I158" s="203">
        <f t="shared" si="149"/>
        <v>0</v>
      </c>
      <c r="J158" s="203">
        <f t="shared" si="149"/>
        <v>0.27514648460783064</v>
      </c>
      <c r="K158" s="203">
        <f t="shared" si="149"/>
        <v>0</v>
      </c>
      <c r="L158" s="203">
        <f t="shared" si="149"/>
        <v>0.27514648460783064</v>
      </c>
      <c r="M158" s="203">
        <f t="shared" si="149"/>
        <v>0</v>
      </c>
      <c r="N158" s="203">
        <f t="shared" si="149"/>
        <v>1752.5358814848587</v>
      </c>
      <c r="O158" s="203">
        <f t="shared" si="149"/>
        <v>0</v>
      </c>
      <c r="P158" s="203">
        <f t="shared" si="149"/>
        <v>1752.5358814848587</v>
      </c>
      <c r="Q158" s="204">
        <f t="shared" si="149"/>
        <v>0</v>
      </c>
      <c r="R158" s="69"/>
      <c r="S158" s="69"/>
      <c r="T158" s="210" t="s">
        <v>158</v>
      </c>
    </row>
    <row r="159" spans="1:20" ht="18.75" customHeight="1" thickBot="1">
      <c r="A159" s="132"/>
      <c r="B159" s="69"/>
      <c r="C159" s="72"/>
      <c r="D159" s="214"/>
      <c r="E159" s="215" t="s">
        <v>106</v>
      </c>
      <c r="F159" s="205">
        <f>'Qtr 2 Budget'!H159</f>
        <v>2104436.13</v>
      </c>
      <c r="G159" s="38"/>
      <c r="H159" s="38">
        <f>F159</f>
        <v>2104436.13</v>
      </c>
      <c r="I159" s="38"/>
      <c r="J159" s="38">
        <f>'Qtr 2 Budget'!L159</f>
        <v>0</v>
      </c>
      <c r="K159" s="38"/>
      <c r="L159" s="38">
        <f>J159</f>
        <v>0</v>
      </c>
      <c r="M159" s="38"/>
      <c r="N159" s="38">
        <f>F159+J159</f>
        <v>2104436.13</v>
      </c>
      <c r="O159" s="38"/>
      <c r="P159" s="38">
        <f>N159</f>
        <v>2104436.13</v>
      </c>
      <c r="Q159" s="206"/>
      <c r="R159" s="69"/>
      <c r="S159" s="69"/>
      <c r="T159" s="211">
        <f>H160/H85</f>
        <v>0.63847412930555025</v>
      </c>
    </row>
    <row r="160" spans="1:20" ht="15" customHeight="1" thickTop="1" thickBot="1">
      <c r="A160" s="132"/>
      <c r="B160" s="69"/>
      <c r="C160" s="72"/>
      <c r="D160" s="216"/>
      <c r="E160" s="217" t="s">
        <v>107</v>
      </c>
      <c r="F160" s="207">
        <f>SUM(F158:F159)</f>
        <v>2106188.3907350004</v>
      </c>
      <c r="G160" s="208">
        <f t="shared" ref="G160:Q160" si="150">SUM(G158:G159)</f>
        <v>0</v>
      </c>
      <c r="H160" s="208">
        <f t="shared" si="150"/>
        <v>2106188.3907350004</v>
      </c>
      <c r="I160" s="208">
        <f t="shared" si="150"/>
        <v>0</v>
      </c>
      <c r="J160" s="208">
        <f t="shared" si="150"/>
        <v>0.27514648460783064</v>
      </c>
      <c r="K160" s="208">
        <f t="shared" si="150"/>
        <v>0</v>
      </c>
      <c r="L160" s="208">
        <f t="shared" si="150"/>
        <v>0.27514648460783064</v>
      </c>
      <c r="M160" s="208">
        <f t="shared" si="150"/>
        <v>0</v>
      </c>
      <c r="N160" s="208">
        <f t="shared" si="150"/>
        <v>2106188.6658814847</v>
      </c>
      <c r="O160" s="208">
        <f t="shared" si="150"/>
        <v>0</v>
      </c>
      <c r="P160" s="208">
        <f t="shared" si="150"/>
        <v>2106188.6658814847</v>
      </c>
      <c r="Q160" s="209">
        <f t="shared" si="150"/>
        <v>0</v>
      </c>
      <c r="R160" s="69"/>
      <c r="S160" s="69"/>
      <c r="T160" s="69"/>
    </row>
    <row r="161" spans="1:20" ht="15" customHeight="1" thickTop="1">
      <c r="A161" s="70"/>
      <c r="B161" s="69"/>
      <c r="C161" s="72"/>
      <c r="D161" s="74"/>
      <c r="E161" s="81"/>
      <c r="F161" s="82"/>
      <c r="G161" s="82"/>
      <c r="H161" s="82"/>
      <c r="I161" s="82"/>
      <c r="J161" s="82"/>
      <c r="K161" s="82"/>
      <c r="L161" s="82"/>
      <c r="M161" s="82"/>
      <c r="N161" s="82"/>
      <c r="O161" s="82"/>
      <c r="P161" s="82"/>
      <c r="Q161" s="69"/>
      <c r="R161" s="69"/>
      <c r="S161" s="69"/>
      <c r="T161" s="69"/>
    </row>
  </sheetData>
  <mergeCells count="27">
    <mergeCell ref="J1:M1"/>
    <mergeCell ref="R1:S1"/>
    <mergeCell ref="A4:C5"/>
    <mergeCell ref="D4:D5"/>
    <mergeCell ref="B6:D10"/>
    <mergeCell ref="E6:E7"/>
    <mergeCell ref="F6:I7"/>
    <mergeCell ref="J6:M7"/>
    <mergeCell ref="N6:Q7"/>
    <mergeCell ref="E8:E10"/>
    <mergeCell ref="R8:R10"/>
    <mergeCell ref="S8:S10"/>
    <mergeCell ref="T8:T10"/>
    <mergeCell ref="P8:P10"/>
    <mergeCell ref="Q8:Q10"/>
    <mergeCell ref="B86:D86"/>
    <mergeCell ref="L8:L10"/>
    <mergeCell ref="M8:M10"/>
    <mergeCell ref="N8:N10"/>
    <mergeCell ref="O8:O10"/>
    <mergeCell ref="F8:F10"/>
    <mergeCell ref="G8:G10"/>
    <mergeCell ref="H8:H10"/>
    <mergeCell ref="I8:I10"/>
    <mergeCell ref="J8:J10"/>
    <mergeCell ref="K8:K10"/>
    <mergeCell ref="B11:D11"/>
  </mergeCells>
  <printOptions horizontalCentered="1"/>
  <pageMargins left="0" right="0" top="0.5" bottom="0.25" header="0.25" footer="0.15"/>
  <pageSetup paperSize="5" scale="61" orientation="landscape" r:id="rId1"/>
  <headerFooter alignWithMargins="0">
    <oddFooter>&amp;C&amp;"Arial,Regular"&amp;10School System Financial Services&amp;R&amp;"Arial,Regular"&amp;10&amp;P of &amp;N</oddFooter>
  </headerFooter>
  <rowBreaks count="3" manualBreakCount="3">
    <brk id="40" max="19" man="1"/>
    <brk id="85" max="19" man="1"/>
    <brk id="119"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A8769-5B9A-46BB-BFE6-9D212DFC99DF}">
  <dimension ref="A1:Q40"/>
  <sheetViews>
    <sheetView workbookViewId="0">
      <selection activeCell="I8" sqref="I8"/>
    </sheetView>
  </sheetViews>
  <sheetFormatPr defaultRowHeight="15.5"/>
  <cols>
    <col min="8" max="9" width="9.3046875" bestFit="1" customWidth="1"/>
    <col min="12" max="12" width="9.3046875" customWidth="1"/>
    <col min="13" max="13" width="9.84375" customWidth="1"/>
  </cols>
  <sheetData>
    <row r="1" spans="1:15" s="725" customFormat="1" ht="90">
      <c r="A1" s="743" t="s">
        <v>4329</v>
      </c>
      <c r="B1" s="744" t="s">
        <v>4330</v>
      </c>
      <c r="C1" s="745" t="s">
        <v>4331</v>
      </c>
      <c r="D1" s="746" t="s">
        <v>4332</v>
      </c>
      <c r="E1" s="746" t="s">
        <v>4333</v>
      </c>
      <c r="F1" s="746" t="s">
        <v>4334</v>
      </c>
      <c r="G1" s="746" t="s">
        <v>4335</v>
      </c>
      <c r="H1" s="746" t="s">
        <v>4336</v>
      </c>
      <c r="I1" s="746" t="s">
        <v>4337</v>
      </c>
      <c r="J1" s="746" t="s">
        <v>4338</v>
      </c>
      <c r="K1" s="746" t="s">
        <v>4339</v>
      </c>
      <c r="L1" s="746" t="s">
        <v>4340</v>
      </c>
      <c r="M1" s="746" t="s">
        <v>4341</v>
      </c>
      <c r="N1" s="746" t="s">
        <v>4342</v>
      </c>
      <c r="O1" s="746" t="s">
        <v>4343</v>
      </c>
    </row>
    <row r="2" spans="1:15">
      <c r="A2" s="747">
        <v>45657</v>
      </c>
      <c r="B2" s="748" t="s">
        <v>4356</v>
      </c>
      <c r="C2" s="748" t="s">
        <v>4357</v>
      </c>
      <c r="D2" s="749" t="s">
        <v>4344</v>
      </c>
      <c r="E2" s="749" t="s">
        <v>91</v>
      </c>
      <c r="F2" s="750" t="s">
        <v>4345</v>
      </c>
      <c r="G2" s="751">
        <v>1000</v>
      </c>
      <c r="H2" s="752">
        <f>'FY 24-25 Budget Form A'!G13</f>
        <v>1300052.33</v>
      </c>
      <c r="I2" s="752">
        <f>'FY 24-25 Budget Form A'!H13</f>
        <v>1954468</v>
      </c>
      <c r="J2" s="752">
        <f>'FY 24-25 Budget Form A'!I13</f>
        <v>688003.56</v>
      </c>
      <c r="K2" s="752">
        <f>'FY 24-25 Budget Form A'!J13</f>
        <v>1223272.54</v>
      </c>
      <c r="L2" s="752">
        <f>'FY 24-25 Budget Form A'!K13</f>
        <v>0</v>
      </c>
      <c r="M2" s="752">
        <f>'FY 24-25 Budget Form A'!L13</f>
        <v>0</v>
      </c>
      <c r="N2" s="752">
        <f>'FY 24-25 Budget Form A'!M13</f>
        <v>0</v>
      </c>
      <c r="O2" s="752">
        <f>'FY 24-25 Budget Form A'!N13</f>
        <v>0</v>
      </c>
    </row>
    <row r="3" spans="1:15">
      <c r="A3" s="747">
        <v>45657</v>
      </c>
      <c r="B3" s="748" t="s">
        <v>4356</v>
      </c>
      <c r="C3" s="748" t="s">
        <v>4357</v>
      </c>
      <c r="D3" s="753" t="s">
        <v>4344</v>
      </c>
      <c r="E3" s="749" t="s">
        <v>91</v>
      </c>
      <c r="F3" s="754" t="s">
        <v>4346</v>
      </c>
      <c r="G3" s="755">
        <v>3000</v>
      </c>
      <c r="H3" s="752">
        <f>'FY 24-25 Budget Form A'!G14</f>
        <v>11866</v>
      </c>
      <c r="I3" s="752">
        <f>'FY 24-25 Budget Form A'!H14</f>
        <v>0</v>
      </c>
      <c r="J3" s="752">
        <f>'FY 24-25 Budget Form A'!I14</f>
        <v>91928</v>
      </c>
      <c r="K3" s="752">
        <f>'FY 24-25 Budget Form A'!J14</f>
        <v>0</v>
      </c>
      <c r="L3" s="752">
        <f>'FY 24-25 Budget Form A'!K14</f>
        <v>0</v>
      </c>
      <c r="M3" s="752">
        <f>'FY 24-25 Budget Form A'!L14</f>
        <v>22389.705882352941</v>
      </c>
      <c r="N3" s="752">
        <f>'FY 24-25 Budget Form A'!M14</f>
        <v>0</v>
      </c>
      <c r="O3" s="752">
        <f>'FY 24-25 Budget Form A'!N14</f>
        <v>3143</v>
      </c>
    </row>
    <row r="4" spans="1:15">
      <c r="A4" s="747">
        <v>45657</v>
      </c>
      <c r="B4" s="748" t="s">
        <v>4356</v>
      </c>
      <c r="C4" s="748" t="s">
        <v>4357</v>
      </c>
      <c r="D4" s="753" t="s">
        <v>4344</v>
      </c>
      <c r="E4" s="749" t="s">
        <v>91</v>
      </c>
      <c r="F4" s="754" t="s">
        <v>4347</v>
      </c>
      <c r="G4" s="755">
        <v>3000</v>
      </c>
      <c r="H4" s="752">
        <f>'FY 24-25 Budget Form A'!G15</f>
        <v>818650</v>
      </c>
      <c r="I4" s="752">
        <f>'FY 24-25 Budget Form A'!H15</f>
        <v>1344316.2326921532</v>
      </c>
      <c r="J4" s="752">
        <f>'FY 24-25 Budget Form A'!I15</f>
        <v>400974</v>
      </c>
      <c r="K4" s="752">
        <f>'FY 24-25 Budget Form A'!J15</f>
        <v>537282</v>
      </c>
      <c r="L4" s="752">
        <f>'FY 24-25 Budget Form A'!K15</f>
        <v>0</v>
      </c>
      <c r="M4" s="752">
        <f>'FY 24-25 Budget Form A'!L15</f>
        <v>0</v>
      </c>
      <c r="N4" s="752">
        <f>'FY 24-25 Budget Form A'!M15</f>
        <v>0</v>
      </c>
      <c r="O4" s="752">
        <f>'FY 24-25 Budget Form A'!N15</f>
        <v>0</v>
      </c>
    </row>
    <row r="5" spans="1:15">
      <c r="A5" s="747">
        <v>45657</v>
      </c>
      <c r="B5" s="748" t="s">
        <v>4356</v>
      </c>
      <c r="C5" s="748" t="s">
        <v>4357</v>
      </c>
      <c r="D5" s="753" t="s">
        <v>4344</v>
      </c>
      <c r="E5" s="749" t="s">
        <v>91</v>
      </c>
      <c r="F5" s="754" t="s">
        <v>4348</v>
      </c>
      <c r="G5" s="755">
        <v>3000</v>
      </c>
      <c r="H5" s="752">
        <f>'FY 24-25 Budget Form A'!G16</f>
        <v>0</v>
      </c>
      <c r="I5" s="752">
        <f>'FY 24-25 Budget Form A'!H16</f>
        <v>0</v>
      </c>
      <c r="J5" s="752">
        <f>'FY 24-25 Budget Form A'!I16</f>
        <v>0</v>
      </c>
      <c r="K5" s="752">
        <f>'FY 24-25 Budget Form A'!J16</f>
        <v>0</v>
      </c>
      <c r="L5" s="752">
        <f>'FY 24-25 Budget Form A'!K16</f>
        <v>0</v>
      </c>
      <c r="M5" s="752">
        <f>'FY 24-25 Budget Form A'!L16</f>
        <v>0</v>
      </c>
      <c r="N5" s="752">
        <f>'FY 24-25 Budget Form A'!M16</f>
        <v>0</v>
      </c>
      <c r="O5" s="752">
        <f>'FY 24-25 Budget Form A'!N16</f>
        <v>0</v>
      </c>
    </row>
    <row r="6" spans="1:15">
      <c r="A6" s="747">
        <v>45657</v>
      </c>
      <c r="B6" s="748" t="s">
        <v>4356</v>
      </c>
      <c r="C6" s="748" t="s">
        <v>4357</v>
      </c>
      <c r="D6" s="753" t="s">
        <v>4344</v>
      </c>
      <c r="E6" s="749" t="s">
        <v>91</v>
      </c>
      <c r="F6" s="754" t="s">
        <v>4349</v>
      </c>
      <c r="G6" s="755">
        <v>4000</v>
      </c>
      <c r="H6" s="752">
        <f>'FY 24-25 Budget Form A'!G17</f>
        <v>0</v>
      </c>
      <c r="I6" s="752">
        <f>'FY 24-25 Budget Form A'!H17</f>
        <v>0</v>
      </c>
      <c r="J6" s="752">
        <f>'FY 24-25 Budget Form A'!I17</f>
        <v>0</v>
      </c>
      <c r="K6" s="752">
        <f>'FY 24-25 Budget Form A'!J17</f>
        <v>0</v>
      </c>
      <c r="L6" s="752">
        <f>'FY 24-25 Budget Form A'!K17</f>
        <v>2024065.82</v>
      </c>
      <c r="M6" s="752">
        <f>'FY 24-25 Budget Form A'!L17</f>
        <v>1599240.5692641316</v>
      </c>
      <c r="N6" s="752">
        <f>'FY 24-25 Budget Form A'!M17</f>
        <v>828604.3</v>
      </c>
      <c r="O6" s="752">
        <f>'FY 24-25 Budget Form A'!N17</f>
        <v>766345.79</v>
      </c>
    </row>
    <row r="7" spans="1:15">
      <c r="A7" s="747">
        <v>45657</v>
      </c>
      <c r="B7" s="748" t="s">
        <v>4356</v>
      </c>
      <c r="C7" s="748" t="s">
        <v>4357</v>
      </c>
      <c r="D7" s="753" t="s">
        <v>4344</v>
      </c>
      <c r="E7" s="749" t="s">
        <v>4350</v>
      </c>
      <c r="F7" s="754" t="s">
        <v>656</v>
      </c>
      <c r="G7" s="755">
        <v>5000</v>
      </c>
      <c r="H7" s="752">
        <f>'FY 24-25 Budget Form A'!G19</f>
        <v>0</v>
      </c>
      <c r="I7" s="752">
        <f>'FY 24-25 Budget Form A'!H19</f>
        <v>0</v>
      </c>
      <c r="J7" s="752">
        <f>'FY 24-25 Budget Form A'!I19</f>
        <v>0</v>
      </c>
      <c r="K7" s="752">
        <f>'FY 24-25 Budget Form A'!J19</f>
        <v>0</v>
      </c>
      <c r="L7" s="752">
        <f>'FY 24-25 Budget Form A'!K19</f>
        <v>0</v>
      </c>
      <c r="M7" s="752">
        <f>'FY 24-25 Budget Form A'!L19</f>
        <v>0</v>
      </c>
      <c r="N7" s="752">
        <f>'FY 24-25 Budget Form A'!M19</f>
        <v>0</v>
      </c>
      <c r="O7" s="752">
        <f>'FY 24-25 Budget Form A'!N19</f>
        <v>0</v>
      </c>
    </row>
    <row r="8" spans="1:15">
      <c r="A8" s="747">
        <v>45657</v>
      </c>
      <c r="B8" s="748" t="s">
        <v>4356</v>
      </c>
      <c r="C8" s="748" t="s">
        <v>4357</v>
      </c>
      <c r="D8" s="753" t="s">
        <v>92</v>
      </c>
      <c r="E8" s="753" t="s">
        <v>4351</v>
      </c>
      <c r="F8" s="753" t="s">
        <v>662</v>
      </c>
      <c r="G8" s="755">
        <v>1100</v>
      </c>
      <c r="H8" s="752">
        <f>'FY 24-25 Budget Form A'!G24</f>
        <v>512975.15000000014</v>
      </c>
      <c r="I8" s="752">
        <f>'FY 24-25 Budget Form A'!H24</f>
        <v>584190.14658282534</v>
      </c>
      <c r="J8" s="752">
        <f>'FY 24-25 Budget Form A'!I24</f>
        <v>531390.24000000022</v>
      </c>
      <c r="K8" s="752">
        <f>'FY 24-25 Budget Form A'!J24</f>
        <v>377946.50030110608</v>
      </c>
      <c r="L8" s="752">
        <f>'FY 24-25 Budget Form A'!K24</f>
        <v>679702</v>
      </c>
      <c r="M8" s="752">
        <f>'FY 24-25 Budget Form A'!L24</f>
        <v>1000000</v>
      </c>
      <c r="N8" s="752">
        <f>'FY 24-25 Budget Form A'!M24</f>
        <v>152532.44</v>
      </c>
      <c r="O8" s="752">
        <f>'FY 24-25 Budget Form A'!N24</f>
        <v>291424.19</v>
      </c>
    </row>
    <row r="9" spans="1:15">
      <c r="A9" s="747">
        <v>45657</v>
      </c>
      <c r="B9" s="748" t="s">
        <v>4356</v>
      </c>
      <c r="C9" s="748" t="s">
        <v>4357</v>
      </c>
      <c r="D9" s="753" t="s">
        <v>92</v>
      </c>
      <c r="E9" s="753" t="s">
        <v>4351</v>
      </c>
      <c r="F9" s="753" t="s">
        <v>663</v>
      </c>
      <c r="G9" s="755">
        <v>1200</v>
      </c>
      <c r="H9" s="752">
        <f>'FY 24-25 Budget Form A'!G25</f>
        <v>118985.15999999999</v>
      </c>
      <c r="I9" s="752">
        <f>'FY 24-25 Budget Form A'!H25</f>
        <v>255534.71426826998</v>
      </c>
      <c r="J9" s="752">
        <f>'FY 24-25 Budget Form A'!I25</f>
        <v>130700.28</v>
      </c>
      <c r="K9" s="752">
        <f>'FY 24-25 Budget Form A'!J25</f>
        <v>91785.832682750159</v>
      </c>
      <c r="L9" s="752">
        <f>'FY 24-25 Budget Form A'!K25</f>
        <v>71213</v>
      </c>
      <c r="M9" s="752">
        <f>'FY 24-25 Budget Form A'!L25</f>
        <v>0</v>
      </c>
      <c r="N9" s="752">
        <f>'FY 24-25 Budget Form A'!M25</f>
        <v>25415.95</v>
      </c>
      <c r="O9" s="752">
        <f>'FY 24-25 Budget Form A'!N25</f>
        <v>44742.19</v>
      </c>
    </row>
    <row r="10" spans="1:15">
      <c r="A10" s="747">
        <v>45657</v>
      </c>
      <c r="B10" s="748" t="s">
        <v>4356</v>
      </c>
      <c r="C10" s="748" t="s">
        <v>4357</v>
      </c>
      <c r="D10" s="753" t="s">
        <v>92</v>
      </c>
      <c r="E10" s="753" t="s">
        <v>4351</v>
      </c>
      <c r="F10" s="753" t="s">
        <v>665</v>
      </c>
      <c r="G10" s="755">
        <v>1300</v>
      </c>
      <c r="H10" s="752">
        <f>'FY 24-25 Budget Form A'!G26</f>
        <v>0</v>
      </c>
      <c r="I10" s="752">
        <f>'FY 24-25 Budget Form A'!H26</f>
        <v>0</v>
      </c>
      <c r="J10" s="752">
        <f>'FY 24-25 Budget Form A'!I26</f>
        <v>0</v>
      </c>
      <c r="K10" s="752">
        <f>'FY 24-25 Budget Form A'!J26</f>
        <v>0</v>
      </c>
      <c r="L10" s="752">
        <f>'FY 24-25 Budget Form A'!K26</f>
        <v>0</v>
      </c>
      <c r="M10" s="752">
        <f>'FY 24-25 Budget Form A'!L26</f>
        <v>0</v>
      </c>
      <c r="N10" s="752">
        <f>'FY 24-25 Budget Form A'!M26</f>
        <v>0</v>
      </c>
      <c r="O10" s="752">
        <f>'FY 24-25 Budget Form A'!N26</f>
        <v>0</v>
      </c>
    </row>
    <row r="11" spans="1:15">
      <c r="A11" s="747">
        <v>45657</v>
      </c>
      <c r="B11" s="748" t="s">
        <v>4356</v>
      </c>
      <c r="C11" s="748" t="s">
        <v>4357</v>
      </c>
      <c r="D11" s="753" t="s">
        <v>92</v>
      </c>
      <c r="E11" s="753" t="s">
        <v>4351</v>
      </c>
      <c r="F11" s="753" t="s">
        <v>667</v>
      </c>
      <c r="G11" s="755">
        <v>1400</v>
      </c>
      <c r="H11" s="752">
        <f>'FY 24-25 Budget Form A'!G27</f>
        <v>0</v>
      </c>
      <c r="I11" s="752">
        <f>'FY 24-25 Budget Form A'!H27</f>
        <v>5000</v>
      </c>
      <c r="J11" s="752">
        <f>'FY 24-25 Budget Form A'!I27</f>
        <v>0</v>
      </c>
      <c r="K11" s="752">
        <f>'FY 24-25 Budget Form A'!J27</f>
        <v>620.25</v>
      </c>
      <c r="L11" s="752">
        <f>'FY 24-25 Budget Form A'!K27</f>
        <v>0</v>
      </c>
      <c r="M11" s="752">
        <f>'FY 24-25 Budget Form A'!L27</f>
        <v>0</v>
      </c>
      <c r="N11" s="752">
        <f>'FY 24-25 Budget Form A'!M27</f>
        <v>0</v>
      </c>
      <c r="O11" s="752">
        <f>'FY 24-25 Budget Form A'!N27</f>
        <v>0</v>
      </c>
    </row>
    <row r="12" spans="1:15">
      <c r="A12" s="747">
        <v>45657</v>
      </c>
      <c r="B12" s="748" t="s">
        <v>4356</v>
      </c>
      <c r="C12" s="748" t="s">
        <v>4357</v>
      </c>
      <c r="D12" s="753" t="s">
        <v>92</v>
      </c>
      <c r="E12" s="753" t="s">
        <v>4351</v>
      </c>
      <c r="F12" s="753" t="s">
        <v>669</v>
      </c>
      <c r="G12" s="755">
        <v>1500</v>
      </c>
      <c r="H12" s="752">
        <f>'FY 24-25 Budget Form A'!G28</f>
        <v>0</v>
      </c>
      <c r="I12" s="752">
        <f>'FY 24-25 Budget Form A'!H28</f>
        <v>0</v>
      </c>
      <c r="J12" s="752">
        <f>'FY 24-25 Budget Form A'!I28</f>
        <v>1600.45</v>
      </c>
      <c r="K12" s="752">
        <f>'FY 24-25 Budget Form A'!J28</f>
        <v>0</v>
      </c>
      <c r="L12" s="752">
        <f>'FY 24-25 Budget Form A'!K28</f>
        <v>0</v>
      </c>
      <c r="M12" s="752">
        <f>'FY 24-25 Budget Form A'!L28</f>
        <v>0</v>
      </c>
      <c r="N12" s="752">
        <f>'FY 24-25 Budget Form A'!M28</f>
        <v>0</v>
      </c>
      <c r="O12" s="752">
        <f>'FY 24-25 Budget Form A'!N28</f>
        <v>0</v>
      </c>
    </row>
    <row r="13" spans="1:15">
      <c r="A13" s="747">
        <v>45657</v>
      </c>
      <c r="B13" s="748" t="s">
        <v>4356</v>
      </c>
      <c r="C13" s="748" t="s">
        <v>4357</v>
      </c>
      <c r="D13" s="753" t="s">
        <v>92</v>
      </c>
      <c r="E13" s="753" t="s">
        <v>4351</v>
      </c>
      <c r="F13" s="753" t="s">
        <v>671</v>
      </c>
      <c r="G13" s="755">
        <v>1600</v>
      </c>
      <c r="H13" s="752">
        <f>'FY 24-25 Budget Form A'!G29</f>
        <v>0</v>
      </c>
      <c r="I13" s="752">
        <f>'FY 24-25 Budget Form A'!H29</f>
        <v>0</v>
      </c>
      <c r="J13" s="752">
        <f>'FY 24-25 Budget Form A'!I29</f>
        <v>0</v>
      </c>
      <c r="K13" s="752">
        <f>'FY 24-25 Budget Form A'!J29</f>
        <v>0</v>
      </c>
      <c r="L13" s="752">
        <f>'FY 24-25 Budget Form A'!K29</f>
        <v>0</v>
      </c>
      <c r="M13" s="752">
        <f>'FY 24-25 Budget Form A'!L29</f>
        <v>0</v>
      </c>
      <c r="N13" s="752">
        <f>'FY 24-25 Budget Form A'!M29</f>
        <v>0</v>
      </c>
      <c r="O13" s="752">
        <f>'FY 24-25 Budget Form A'!N29</f>
        <v>0</v>
      </c>
    </row>
    <row r="14" spans="1:15">
      <c r="A14" s="747">
        <v>45657</v>
      </c>
      <c r="B14" s="748" t="s">
        <v>4356</v>
      </c>
      <c r="C14" s="748" t="s">
        <v>4357</v>
      </c>
      <c r="D14" s="753" t="s">
        <v>92</v>
      </c>
      <c r="E14" s="753" t="s">
        <v>4352</v>
      </c>
      <c r="F14" s="753" t="s">
        <v>676</v>
      </c>
      <c r="G14" s="756">
        <v>2100</v>
      </c>
      <c r="H14" s="752">
        <f>'FY 24-25 Budget Form A'!G32</f>
        <v>115072.53</v>
      </c>
      <c r="I14" s="752">
        <f>'FY 24-25 Budget Form A'!H32</f>
        <v>92250</v>
      </c>
      <c r="J14" s="752">
        <f>'FY 24-25 Budget Form A'!I32</f>
        <v>127295.81</v>
      </c>
      <c r="K14" s="752">
        <f>'FY 24-25 Budget Form A'!J32</f>
        <v>138944.45537272867</v>
      </c>
      <c r="L14" s="752">
        <f>'FY 24-25 Budget Form A'!K32</f>
        <v>99032</v>
      </c>
      <c r="M14" s="752">
        <f>'FY 24-25 Budget Form A'!L32</f>
        <v>57936</v>
      </c>
      <c r="N14" s="752">
        <f>'FY 24-25 Budget Form A'!M32</f>
        <v>0</v>
      </c>
      <c r="O14" s="752">
        <f>'FY 24-25 Budget Form A'!N32</f>
        <v>0</v>
      </c>
    </row>
    <row r="15" spans="1:15">
      <c r="A15" s="747">
        <v>45657</v>
      </c>
      <c r="B15" s="748" t="s">
        <v>4356</v>
      </c>
      <c r="C15" s="748" t="s">
        <v>4357</v>
      </c>
      <c r="D15" s="753" t="s">
        <v>92</v>
      </c>
      <c r="E15" s="753" t="s">
        <v>4352</v>
      </c>
      <c r="F15" s="753" t="s">
        <v>678</v>
      </c>
      <c r="G15" s="756">
        <v>2200</v>
      </c>
      <c r="H15" s="752">
        <f>'FY 24-25 Budget Form A'!G33</f>
        <v>242137</v>
      </c>
      <c r="I15" s="752">
        <f>'FY 24-25 Budget Form A'!H33</f>
        <v>340032.23364826012</v>
      </c>
      <c r="J15" s="752">
        <f>'FY 24-25 Budget Form A'!I33</f>
        <v>99720.790000000008</v>
      </c>
      <c r="K15" s="752">
        <f>'FY 24-25 Budget Form A'!J33</f>
        <v>52288.379133387636</v>
      </c>
      <c r="L15" s="752">
        <f>'FY 24-25 Budget Form A'!K33</f>
        <v>327300.5</v>
      </c>
      <c r="M15" s="752">
        <f>'FY 24-25 Budget Form A'!L33</f>
        <v>16794</v>
      </c>
      <c r="N15" s="752">
        <f>'FY 24-25 Budget Form A'!M33</f>
        <v>4769</v>
      </c>
      <c r="O15" s="752">
        <f>'FY 24-25 Budget Form A'!N33</f>
        <v>6073.4</v>
      </c>
    </row>
    <row r="16" spans="1:15">
      <c r="A16" s="747">
        <v>45657</v>
      </c>
      <c r="B16" s="748" t="s">
        <v>4356</v>
      </c>
      <c r="C16" s="748" t="s">
        <v>4357</v>
      </c>
      <c r="D16" s="753" t="s">
        <v>92</v>
      </c>
      <c r="E16" s="753" t="s">
        <v>4352</v>
      </c>
      <c r="F16" s="753" t="s">
        <v>680</v>
      </c>
      <c r="G16" s="756">
        <v>2300</v>
      </c>
      <c r="H16" s="752">
        <f>'FY 24-25 Budget Form A'!G34</f>
        <v>84875.17</v>
      </c>
      <c r="I16" s="752">
        <f>'FY 24-25 Budget Form A'!H34</f>
        <v>110699</v>
      </c>
      <c r="J16" s="752">
        <f>'FY 24-25 Budget Form A'!I34</f>
        <v>25141.799999999996</v>
      </c>
      <c r="K16" s="752">
        <f>'FY 24-25 Budget Form A'!J34</f>
        <v>72379.98</v>
      </c>
      <c r="L16" s="752">
        <f>'FY 24-25 Budget Form A'!K34</f>
        <v>0</v>
      </c>
      <c r="M16" s="752">
        <f>'FY 24-25 Budget Form A'!L34</f>
        <v>0</v>
      </c>
      <c r="N16" s="752">
        <f>'FY 24-25 Budget Form A'!M34</f>
        <v>0</v>
      </c>
      <c r="O16" s="752">
        <f>'FY 24-25 Budget Form A'!N34</f>
        <v>0</v>
      </c>
    </row>
    <row r="17" spans="1:17">
      <c r="A17" s="747">
        <v>45657</v>
      </c>
      <c r="B17" s="748" t="s">
        <v>4356</v>
      </c>
      <c r="C17" s="748" t="s">
        <v>4357</v>
      </c>
      <c r="D17" s="753" t="s">
        <v>92</v>
      </c>
      <c r="E17" s="753" t="s">
        <v>4352</v>
      </c>
      <c r="F17" s="753" t="s">
        <v>682</v>
      </c>
      <c r="G17" s="756">
        <v>2400</v>
      </c>
      <c r="H17" s="752">
        <f>'FY 24-25 Budget Form A'!G35</f>
        <v>523559.38000000006</v>
      </c>
      <c r="I17" s="752">
        <f>'FY 24-25 Budget Form A'!H35</f>
        <v>980220.69409899402</v>
      </c>
      <c r="J17" s="752">
        <f>'FY 24-25 Budget Form A'!I35</f>
        <v>355078.82999999996</v>
      </c>
      <c r="K17" s="752">
        <f>'FY 24-25 Budget Form A'!J35</f>
        <v>365931.52328814898</v>
      </c>
      <c r="L17" s="752">
        <f>'FY 24-25 Budget Form A'!K35</f>
        <v>59009</v>
      </c>
      <c r="M17" s="752">
        <f>'FY 24-25 Budget Form A'!L35</f>
        <v>279400</v>
      </c>
      <c r="N17" s="752">
        <f>'FY 24-25 Budget Form A'!M35</f>
        <v>3004.31</v>
      </c>
      <c r="O17" s="752">
        <f>'FY 24-25 Budget Form A'!N35</f>
        <v>3333.1</v>
      </c>
    </row>
    <row r="18" spans="1:17">
      <c r="A18" s="747">
        <v>45657</v>
      </c>
      <c r="B18" s="748" t="s">
        <v>4356</v>
      </c>
      <c r="C18" s="748" t="s">
        <v>4357</v>
      </c>
      <c r="D18" s="753" t="s">
        <v>92</v>
      </c>
      <c r="E18" s="753" t="s">
        <v>4352</v>
      </c>
      <c r="F18" s="753" t="s">
        <v>683</v>
      </c>
      <c r="G18" s="756">
        <v>2500</v>
      </c>
      <c r="H18" s="752">
        <f>'FY 24-25 Budget Form A'!G36</f>
        <v>11131.840000000002</v>
      </c>
      <c r="I18" s="752">
        <f>'FY 24-25 Budget Form A'!H36</f>
        <v>96500</v>
      </c>
      <c r="J18" s="752">
        <f>'FY 24-25 Budget Form A'!I36</f>
        <v>37407.259999999995</v>
      </c>
      <c r="K18" s="752">
        <f>'FY 24-25 Budget Form A'!J36</f>
        <v>47566.979999999996</v>
      </c>
      <c r="L18" s="752">
        <f>'FY 24-25 Budget Form A'!K36</f>
        <v>71433.75</v>
      </c>
      <c r="M18" s="752">
        <f>'FY 24-25 Budget Form A'!L36</f>
        <v>0</v>
      </c>
      <c r="N18" s="752">
        <f>'FY 24-25 Budget Form A'!M36</f>
        <v>9188</v>
      </c>
      <c r="O18" s="752">
        <f>'FY 24-25 Budget Form A'!N36</f>
        <v>0</v>
      </c>
    </row>
    <row r="19" spans="1:17">
      <c r="A19" s="747">
        <v>45657</v>
      </c>
      <c r="B19" s="748" t="s">
        <v>4356</v>
      </c>
      <c r="C19" s="748" t="s">
        <v>4357</v>
      </c>
      <c r="D19" s="753" t="s">
        <v>92</v>
      </c>
      <c r="E19" s="753" t="s">
        <v>4352</v>
      </c>
      <c r="F19" s="753" t="s">
        <v>685</v>
      </c>
      <c r="G19" s="756">
        <v>2600</v>
      </c>
      <c r="H19" s="752">
        <f>'FY 24-25 Budget Form A'!G37</f>
        <v>213447.97999999998</v>
      </c>
      <c r="I19" s="752">
        <f>'FY 24-25 Budget Form A'!H37</f>
        <v>491495.18335880345</v>
      </c>
      <c r="J19" s="752">
        <f>'FY 24-25 Budget Form A'!I37</f>
        <v>179869.89</v>
      </c>
      <c r="K19" s="752">
        <f>'FY 24-25 Budget Form A'!J37</f>
        <v>140469.47922187843</v>
      </c>
      <c r="L19" s="752">
        <f>'FY 24-25 Budget Form A'!K37</f>
        <v>80855.579999999987</v>
      </c>
      <c r="M19" s="752">
        <f>'FY 24-25 Budget Form A'!L37</f>
        <v>0</v>
      </c>
      <c r="N19" s="752">
        <f>'FY 24-25 Budget Form A'!M37</f>
        <v>0</v>
      </c>
      <c r="O19" s="752">
        <f>'FY 24-25 Budget Form A'!N37</f>
        <v>0</v>
      </c>
    </row>
    <row r="20" spans="1:17">
      <c r="A20" s="747">
        <v>45657</v>
      </c>
      <c r="B20" s="748" t="s">
        <v>4356</v>
      </c>
      <c r="C20" s="748" t="s">
        <v>4357</v>
      </c>
      <c r="D20" s="753" t="s">
        <v>92</v>
      </c>
      <c r="E20" s="753" t="s">
        <v>4352</v>
      </c>
      <c r="F20" s="753" t="s">
        <v>687</v>
      </c>
      <c r="G20" s="757">
        <v>2700</v>
      </c>
      <c r="H20" s="752">
        <f>'FY 24-25 Budget Form A'!G38</f>
        <v>94920.59</v>
      </c>
      <c r="I20" s="752">
        <f>'FY 24-25 Budget Form A'!H38</f>
        <v>351360</v>
      </c>
      <c r="J20" s="752">
        <f>'FY 24-25 Budget Form A'!I38</f>
        <v>85845.8</v>
      </c>
      <c r="K20" s="752">
        <f>'FY 24-25 Budget Form A'!J38</f>
        <v>169685.45</v>
      </c>
      <c r="L20" s="752">
        <f>'FY 24-25 Budget Form A'!K38</f>
        <v>174385.52</v>
      </c>
      <c r="M20" s="752">
        <f>'FY 24-25 Budget Form A'!L38</f>
        <v>0</v>
      </c>
      <c r="N20" s="752">
        <f>'FY 24-25 Budget Form A'!M38</f>
        <v>0</v>
      </c>
      <c r="O20" s="752">
        <f>'FY 24-25 Budget Form A'!N38</f>
        <v>0</v>
      </c>
    </row>
    <row r="21" spans="1:17">
      <c r="A21" s="747">
        <v>45657</v>
      </c>
      <c r="B21" s="748" t="s">
        <v>4356</v>
      </c>
      <c r="C21" s="748" t="s">
        <v>4357</v>
      </c>
      <c r="D21" s="753" t="s">
        <v>92</v>
      </c>
      <c r="E21" s="753" t="s">
        <v>4352</v>
      </c>
      <c r="F21" s="753" t="s">
        <v>689</v>
      </c>
      <c r="G21" s="758">
        <v>2800</v>
      </c>
      <c r="H21" s="752">
        <f>'FY 24-25 Budget Form A'!G39</f>
        <v>87572.360000000015</v>
      </c>
      <c r="I21" s="752">
        <f>'FY 24-25 Budget Form A'!H39</f>
        <v>174750</v>
      </c>
      <c r="J21" s="752">
        <f>'FY 24-25 Budget Form A'!I39</f>
        <v>108102.09</v>
      </c>
      <c r="K21" s="752">
        <f>'FY 24-25 Budget Form A'!J39</f>
        <v>113064.85</v>
      </c>
      <c r="L21" s="752">
        <f>'FY 24-25 Budget Form A'!K39</f>
        <v>100257.41</v>
      </c>
      <c r="M21" s="752">
        <f>'FY 24-25 Budget Form A'!L39</f>
        <v>0</v>
      </c>
      <c r="N21" s="752">
        <f>'FY 24-25 Budget Form A'!M39</f>
        <v>0</v>
      </c>
      <c r="O21" s="752">
        <f>'FY 24-25 Budget Form A'!N39</f>
        <v>0</v>
      </c>
    </row>
    <row r="22" spans="1:17">
      <c r="A22" s="747">
        <v>45657</v>
      </c>
      <c r="B22" s="748" t="s">
        <v>4356</v>
      </c>
      <c r="C22" s="748" t="s">
        <v>4357</v>
      </c>
      <c r="D22" s="753" t="s">
        <v>92</v>
      </c>
      <c r="E22" s="753" t="s">
        <v>4353</v>
      </c>
      <c r="F22" s="753" t="s">
        <v>694</v>
      </c>
      <c r="G22" s="756">
        <v>3100</v>
      </c>
      <c r="H22" s="752">
        <f>'FY 24-25 Budget Form A'!G42</f>
        <v>1019.86</v>
      </c>
      <c r="I22" s="752">
        <f>'FY 24-25 Budget Form A'!H42</f>
        <v>0</v>
      </c>
      <c r="J22" s="752">
        <f>'FY 24-25 Budget Form A'!I42</f>
        <v>7977.32</v>
      </c>
      <c r="K22" s="752">
        <f>'FY 24-25 Budget Form A'!J42</f>
        <v>72710.44</v>
      </c>
      <c r="L22" s="752">
        <f>'FY 24-25 Budget Form A'!K42</f>
        <v>144882.23999999999</v>
      </c>
      <c r="M22" s="752">
        <f>'FY 24-25 Budget Form A'!L42</f>
        <v>267500</v>
      </c>
      <c r="N22" s="752">
        <f>'FY 24-25 Budget Form A'!M42</f>
        <v>52290.81</v>
      </c>
      <c r="O22" s="752">
        <f>'FY 24-25 Budget Form A'!N42</f>
        <v>65056.5</v>
      </c>
    </row>
    <row r="23" spans="1:17">
      <c r="A23" s="747">
        <v>45657</v>
      </c>
      <c r="B23" s="748" t="s">
        <v>4356</v>
      </c>
      <c r="C23" s="748" t="s">
        <v>4357</v>
      </c>
      <c r="D23" s="753" t="s">
        <v>92</v>
      </c>
      <c r="E23" s="753" t="s">
        <v>4353</v>
      </c>
      <c r="F23" s="753" t="s">
        <v>695</v>
      </c>
      <c r="G23" s="756">
        <v>3200</v>
      </c>
      <c r="H23" s="752">
        <f>'FY 24-25 Budget Form A'!G43</f>
        <v>0</v>
      </c>
      <c r="I23" s="752">
        <f>'FY 24-25 Budget Form A'!H43</f>
        <v>0</v>
      </c>
      <c r="J23" s="752">
        <f>'FY 24-25 Budget Form A'!I43</f>
        <v>0</v>
      </c>
      <c r="K23" s="752">
        <f>'FY 24-25 Budget Form A'!J43</f>
        <v>0</v>
      </c>
      <c r="L23" s="752">
        <f>'FY 24-25 Budget Form A'!K43</f>
        <v>0</v>
      </c>
      <c r="M23" s="752">
        <f>'FY 24-25 Budget Form A'!L43</f>
        <v>0</v>
      </c>
      <c r="N23" s="752">
        <f>'FY 24-25 Budget Form A'!M43</f>
        <v>0</v>
      </c>
      <c r="O23" s="752">
        <f>'FY 24-25 Budget Form A'!N43</f>
        <v>0</v>
      </c>
    </row>
    <row r="24" spans="1:17">
      <c r="A24" s="747">
        <v>45657</v>
      </c>
      <c r="B24" s="748" t="s">
        <v>4356</v>
      </c>
      <c r="C24" s="748" t="s">
        <v>4357</v>
      </c>
      <c r="D24" s="753" t="s">
        <v>92</v>
      </c>
      <c r="E24" s="753" t="s">
        <v>4353</v>
      </c>
      <c r="F24" s="753" t="s">
        <v>697</v>
      </c>
      <c r="G24" s="757">
        <v>3300</v>
      </c>
      <c r="H24" s="752">
        <f>'FY 24-25 Budget Form A'!G44</f>
        <v>0</v>
      </c>
      <c r="I24" s="752">
        <f>'FY 24-25 Budget Form A'!H44</f>
        <v>0</v>
      </c>
      <c r="J24" s="752">
        <f>'FY 24-25 Budget Form A'!I44</f>
        <v>0</v>
      </c>
      <c r="K24" s="752">
        <f>'FY 24-25 Budget Form A'!J44</f>
        <v>0</v>
      </c>
      <c r="L24" s="752">
        <f>'FY 24-25 Budget Form A'!K44</f>
        <v>0</v>
      </c>
      <c r="M24" s="752">
        <f>'FY 24-25 Budget Form A'!L44</f>
        <v>0</v>
      </c>
      <c r="N24" s="752">
        <f>'FY 24-25 Budget Form A'!M44</f>
        <v>0</v>
      </c>
      <c r="O24" s="752">
        <f>'FY 24-25 Budget Form A'!N44</f>
        <v>0</v>
      </c>
    </row>
    <row r="25" spans="1:17">
      <c r="A25" s="747">
        <v>45657</v>
      </c>
      <c r="B25" s="748" t="s">
        <v>4356</v>
      </c>
      <c r="C25" s="748" t="s">
        <v>4357</v>
      </c>
      <c r="D25" s="753" t="s">
        <v>92</v>
      </c>
      <c r="E25" s="754" t="s">
        <v>701</v>
      </c>
      <c r="F25" s="754" t="s">
        <v>701</v>
      </c>
      <c r="G25" s="758">
        <v>4000</v>
      </c>
      <c r="H25" s="752">
        <f>'FY 24-25 Budget Form A'!G46</f>
        <v>0</v>
      </c>
      <c r="I25" s="752">
        <f>'FY 24-25 Budget Form A'!H46</f>
        <v>0</v>
      </c>
      <c r="J25" s="752">
        <f>'FY 24-25 Budget Form A'!I46</f>
        <v>0</v>
      </c>
      <c r="K25" s="752">
        <f>'FY 24-25 Budget Form A'!J46</f>
        <v>0</v>
      </c>
      <c r="L25" s="752">
        <f>'FY 24-25 Budget Form A'!K46</f>
        <v>0</v>
      </c>
      <c r="M25" s="752">
        <f>'FY 24-25 Budget Form A'!L46</f>
        <v>0</v>
      </c>
      <c r="N25" s="752">
        <f>'FY 24-25 Budget Form A'!M46</f>
        <v>0</v>
      </c>
      <c r="O25" s="752">
        <f>'FY 24-25 Budget Form A'!N46</f>
        <v>0</v>
      </c>
    </row>
    <row r="26" spans="1:17">
      <c r="A26" s="747">
        <v>45657</v>
      </c>
      <c r="B26" s="748" t="s">
        <v>4356</v>
      </c>
      <c r="C26" s="748" t="s">
        <v>4357</v>
      </c>
      <c r="D26" s="753" t="s">
        <v>92</v>
      </c>
      <c r="E26" s="754" t="s">
        <v>702</v>
      </c>
      <c r="F26" s="754" t="s">
        <v>702</v>
      </c>
      <c r="G26" s="756">
        <v>5100</v>
      </c>
      <c r="H26" s="752">
        <f>'FY 24-25 Budget Form A'!G47</f>
        <v>0</v>
      </c>
      <c r="I26" s="752">
        <f>'FY 24-25 Budget Form A'!H47</f>
        <v>0</v>
      </c>
      <c r="J26" s="752">
        <f>'FY 24-25 Budget Form A'!I47</f>
        <v>0</v>
      </c>
      <c r="K26" s="752">
        <f>'FY 24-25 Budget Form A'!J47</f>
        <v>0</v>
      </c>
      <c r="L26" s="752">
        <f>'FY 24-25 Budget Form A'!K47</f>
        <v>0</v>
      </c>
      <c r="M26" s="752">
        <f>'FY 24-25 Budget Form A'!L47</f>
        <v>0</v>
      </c>
      <c r="N26" s="752">
        <f>'FY 24-25 Budget Form A'!M47</f>
        <v>0</v>
      </c>
      <c r="O26" s="752">
        <f>'FY 24-25 Budget Form A'!N47</f>
        <v>0</v>
      </c>
    </row>
    <row r="27" spans="1:17">
      <c r="A27" s="747">
        <v>45657</v>
      </c>
      <c r="B27" s="748" t="s">
        <v>4356</v>
      </c>
      <c r="C27" s="748" t="s">
        <v>4357</v>
      </c>
      <c r="D27" s="753" t="s">
        <v>92</v>
      </c>
      <c r="E27" s="753" t="s">
        <v>4354</v>
      </c>
      <c r="F27" s="753" t="s">
        <v>4355</v>
      </c>
      <c r="G27" s="756">
        <v>5200</v>
      </c>
      <c r="H27" s="752">
        <f>'FY 24-25 Budget Form A'!G50</f>
        <v>-201494.82</v>
      </c>
      <c r="I27" s="752">
        <f>'FY 24-25 Budget Form A'!H50</f>
        <v>-185000</v>
      </c>
      <c r="J27" s="752">
        <f>'FY 24-25 Budget Form A'!I50</f>
        <v>-7331</v>
      </c>
      <c r="K27" s="752">
        <f>'FY 24-25 Budget Form A'!J50</f>
        <v>-29970</v>
      </c>
      <c r="L27" s="752">
        <f>'FY 24-25 Budget Form A'!K50</f>
        <v>201494.82</v>
      </c>
      <c r="M27" s="752">
        <f>'FY 24-25 Budget Form A'!L50</f>
        <v>0</v>
      </c>
      <c r="N27" s="752">
        <f>'FY 24-25 Budget Form A'!M50</f>
        <v>7331</v>
      </c>
      <c r="O27" s="752">
        <f>'FY 24-25 Budget Form A'!N50</f>
        <v>29970</v>
      </c>
    </row>
    <row r="28" spans="1:17">
      <c r="A28" s="759"/>
      <c r="B28" s="759"/>
      <c r="C28" s="759"/>
      <c r="D28" s="760"/>
      <c r="E28" s="760"/>
      <c r="F28" s="760"/>
      <c r="G28" s="761"/>
      <c r="H28" s="761"/>
      <c r="I28" s="761"/>
      <c r="J28" s="761"/>
      <c r="K28" s="761"/>
      <c r="L28" s="761"/>
      <c r="M28" s="761"/>
      <c r="N28" s="761"/>
      <c r="O28" s="761"/>
      <c r="P28" s="761"/>
      <c r="Q28" s="761"/>
    </row>
    <row r="29" spans="1:17">
      <c r="A29" s="759"/>
      <c r="B29" s="759"/>
      <c r="C29" s="759"/>
      <c r="D29" s="760"/>
      <c r="E29" s="760"/>
      <c r="F29" s="762"/>
      <c r="G29" s="761"/>
      <c r="H29" s="761"/>
      <c r="I29" s="761"/>
      <c r="J29" s="761"/>
      <c r="K29" s="761"/>
      <c r="L29" s="761"/>
      <c r="M29" s="761"/>
      <c r="N29" s="761"/>
      <c r="O29" s="761"/>
      <c r="P29" s="761"/>
      <c r="Q29" s="761"/>
    </row>
    <row r="30" spans="1:17">
      <c r="A30" s="759"/>
      <c r="B30" s="759"/>
      <c r="C30" s="759"/>
      <c r="D30" s="760"/>
      <c r="E30" s="760"/>
      <c r="F30" s="763"/>
      <c r="G30" s="760"/>
      <c r="H30" s="760"/>
      <c r="I30" s="760"/>
      <c r="J30" s="760"/>
      <c r="K30" s="760"/>
      <c r="L30" s="760"/>
      <c r="M30" s="760"/>
      <c r="N30" s="760"/>
      <c r="O30" s="760"/>
      <c r="P30" s="760"/>
      <c r="Q30" s="760"/>
    </row>
    <row r="31" spans="1:17">
      <c r="A31" s="759"/>
      <c r="B31" s="759"/>
      <c r="C31" s="759"/>
      <c r="D31" s="760"/>
      <c r="E31" s="760"/>
      <c r="F31" s="760"/>
      <c r="G31" s="760"/>
      <c r="H31" s="760"/>
      <c r="I31" s="760"/>
      <c r="J31" s="760"/>
      <c r="K31" s="760"/>
      <c r="L31" s="760"/>
      <c r="M31" s="760"/>
      <c r="N31" s="760"/>
      <c r="O31" s="760"/>
      <c r="P31" s="760"/>
      <c r="Q31" s="760"/>
    </row>
    <row r="32" spans="1:17">
      <c r="A32" s="759"/>
      <c r="B32" s="759"/>
      <c r="C32" s="759"/>
      <c r="D32" s="760"/>
      <c r="E32" s="760"/>
      <c r="F32" s="760"/>
      <c r="G32" s="760"/>
      <c r="H32" s="760"/>
      <c r="I32" s="760"/>
      <c r="J32" s="760"/>
      <c r="K32" s="760"/>
      <c r="L32" s="760"/>
      <c r="M32" s="760"/>
      <c r="N32" s="760"/>
      <c r="O32" s="760"/>
      <c r="P32" s="760"/>
      <c r="Q32" s="760"/>
    </row>
    <row r="33" spans="1:15">
      <c r="A33" s="759"/>
      <c r="B33" s="759"/>
      <c r="C33" s="759"/>
      <c r="D33" s="760"/>
      <c r="E33" s="760"/>
      <c r="F33" s="760"/>
      <c r="G33" s="760"/>
      <c r="H33" s="760"/>
      <c r="I33" s="760"/>
      <c r="J33" s="760"/>
      <c r="K33" s="760"/>
      <c r="L33" s="760"/>
      <c r="M33" s="760"/>
      <c r="N33" s="760"/>
      <c r="O33" s="760"/>
    </row>
    <row r="34" spans="1:15">
      <c r="A34" s="759"/>
      <c r="B34" s="759"/>
      <c r="C34" s="759"/>
      <c r="D34" s="760"/>
      <c r="E34" s="760"/>
      <c r="F34" s="760"/>
      <c r="G34" s="760"/>
      <c r="H34" s="760"/>
      <c r="I34" s="760"/>
      <c r="J34" s="760"/>
      <c r="K34" s="760"/>
      <c r="L34" s="760"/>
      <c r="M34" s="760"/>
      <c r="N34" s="760"/>
      <c r="O34" s="760"/>
    </row>
    <row r="35" spans="1:15">
      <c r="A35" s="759"/>
      <c r="B35" s="759"/>
      <c r="C35" s="759"/>
      <c r="D35" s="760"/>
      <c r="E35" s="760"/>
      <c r="F35" s="760"/>
      <c r="G35" s="760"/>
      <c r="H35" s="760"/>
      <c r="I35" s="760"/>
      <c r="J35" s="760"/>
      <c r="K35" s="760"/>
      <c r="L35" s="760"/>
      <c r="M35" s="760"/>
      <c r="N35" s="760"/>
      <c r="O35" s="760"/>
    </row>
    <row r="36" spans="1:15">
      <c r="A36" s="759"/>
      <c r="B36" s="759"/>
      <c r="C36" s="759"/>
      <c r="D36" s="760"/>
      <c r="E36" s="760"/>
      <c r="F36" s="760"/>
      <c r="G36" s="760"/>
      <c r="H36" s="760"/>
      <c r="I36" s="760"/>
      <c r="J36" s="760"/>
      <c r="K36" s="760"/>
      <c r="L36" s="760"/>
      <c r="M36" s="760"/>
      <c r="N36" s="760"/>
      <c r="O36" s="760"/>
    </row>
    <row r="37" spans="1:15">
      <c r="A37" s="764"/>
      <c r="B37" s="764"/>
      <c r="C37" s="764"/>
      <c r="D37" s="760"/>
      <c r="E37" s="760"/>
      <c r="F37" s="760"/>
      <c r="G37" s="760"/>
      <c r="H37" s="760"/>
      <c r="I37" s="760"/>
      <c r="J37" s="760"/>
      <c r="K37" s="760"/>
      <c r="L37" s="760"/>
      <c r="M37" s="760"/>
      <c r="N37" s="760"/>
      <c r="O37" s="760"/>
    </row>
    <row r="38" spans="1:15">
      <c r="A38" s="759"/>
      <c r="B38" s="759"/>
      <c r="C38" s="759"/>
      <c r="D38" s="760"/>
      <c r="E38" s="760"/>
      <c r="F38" s="760"/>
      <c r="G38" s="760"/>
      <c r="H38" s="760"/>
      <c r="I38" s="760"/>
      <c r="J38" s="760"/>
      <c r="K38" s="760"/>
      <c r="L38" s="760"/>
      <c r="M38" s="760"/>
      <c r="N38" s="760"/>
      <c r="O38" s="760"/>
    </row>
    <row r="39" spans="1:15">
      <c r="D39" s="765"/>
      <c r="E39" s="765"/>
      <c r="F39" s="760"/>
      <c r="G39" s="765"/>
      <c r="H39" s="765"/>
      <c r="I39" s="765"/>
      <c r="J39" s="765"/>
      <c r="K39" s="765"/>
      <c r="L39" s="765"/>
      <c r="M39" s="765"/>
      <c r="N39" s="765"/>
      <c r="O39" s="765"/>
    </row>
    <row r="40" spans="1:15">
      <c r="F40" s="76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754F0-F1EB-468B-AD2F-7CFBEDAB8358}">
  <dimension ref="A1:E127"/>
  <sheetViews>
    <sheetView topLeftCell="A42" workbookViewId="0">
      <selection activeCell="A54" sqref="A54"/>
    </sheetView>
  </sheetViews>
  <sheetFormatPr defaultRowHeight="15.5"/>
  <cols>
    <col min="4" max="4" width="56" customWidth="1"/>
    <col min="5" max="5" width="10.15234375" customWidth="1"/>
  </cols>
  <sheetData>
    <row r="1" spans="1:5" ht="18">
      <c r="A1" s="724" t="s">
        <v>4287</v>
      </c>
      <c r="B1" s="724" t="s">
        <v>587</v>
      </c>
      <c r="C1" s="724" t="s">
        <v>588</v>
      </c>
      <c r="D1" s="939" t="s">
        <v>4288</v>
      </c>
    </row>
    <row r="2" spans="1:5" ht="18">
      <c r="A2" s="478"/>
      <c r="B2" s="478"/>
      <c r="C2" s="478"/>
      <c r="D2" s="939" t="s">
        <v>4289</v>
      </c>
    </row>
    <row r="3" spans="1:5">
      <c r="A3" s="478"/>
      <c r="B3" s="478"/>
      <c r="C3" s="478"/>
      <c r="D3" s="940" t="s">
        <v>4358</v>
      </c>
    </row>
    <row r="4" spans="1:5">
      <c r="A4" s="478"/>
      <c r="B4" s="478"/>
      <c r="C4" s="478"/>
    </row>
    <row r="5" spans="1:5">
      <c r="A5" s="478"/>
      <c r="B5" s="478"/>
      <c r="C5" s="478"/>
      <c r="D5" s="725"/>
      <c r="E5" s="726" t="s">
        <v>724</v>
      </c>
    </row>
    <row r="6" spans="1:5">
      <c r="A6" s="478"/>
      <c r="B6" s="478"/>
      <c r="C6" s="478"/>
      <c r="D6" s="727" t="s">
        <v>441</v>
      </c>
      <c r="E6" s="728"/>
    </row>
    <row r="7" spans="1:5">
      <c r="A7" s="478"/>
      <c r="B7" s="478"/>
      <c r="C7" s="478"/>
      <c r="D7" s="727" t="s">
        <v>442</v>
      </c>
      <c r="E7" s="728"/>
    </row>
    <row r="8" spans="1:5">
      <c r="A8" s="478" cm="1">
        <f t="array" ref="A8">INDEX('Master Mapping'!O:O, MATCH(TRUE, EXACT(TEXT(LEFT(TRIM(D8), 7), "@"), 'Master Mapping'!A:A), 0))</f>
        <v>1</v>
      </c>
      <c r="B8" s="478">
        <f>E8-C8</f>
        <v>80859.179999999993</v>
      </c>
      <c r="C8" s="478">
        <f>IFERROR(INDEX('P&amp;L SR 2'!A:ZZ, MATCH(D8, 'P&amp;L SR 2'!B:B, 0), MATCH("TOTAL", 'P&amp;L SR 2'!$5:$5, 0)), 0)</f>
        <v>0</v>
      </c>
      <c r="D8" s="727" t="s">
        <v>4359</v>
      </c>
      <c r="E8" s="729">
        <f>80859.18</f>
        <v>80859.179999999993</v>
      </c>
    </row>
    <row r="9" spans="1:5">
      <c r="A9" s="478" cm="1">
        <f t="array" ref="A9">INDEX('Master Mapping'!O:O, MATCH(TRUE, EXACT(TEXT(LEFT(TRIM(D9), 7), "@"), 'Master Mapping'!A:A), 0))</f>
        <v>0</v>
      </c>
      <c r="B9" s="478">
        <f t="shared" ref="B9:B72" si="0">E9-C9</f>
        <v>0</v>
      </c>
      <c r="C9" s="478">
        <f>IFERROR(INDEX('P&amp;L SR 2'!A:ZZ, MATCH(D9, 'P&amp;L SR 2'!B:B, 0), MATCH("TOTAL", 'P&amp;L SR 2'!$5:$5, 0)), 0)</f>
        <v>0</v>
      </c>
      <c r="D9" s="727" t="s">
        <v>4360</v>
      </c>
      <c r="E9" s="728"/>
    </row>
    <row r="10" spans="1:5">
      <c r="A10" s="478" cm="1">
        <f t="array" ref="A10">INDEX('Master Mapping'!O:O, MATCH(TRUE, EXACT(TEXT(LEFT(TRIM(D10), 7), "@"), 'Master Mapping'!A:A), 0))</f>
        <v>1</v>
      </c>
      <c r="B10" s="478">
        <f t="shared" si="0"/>
        <v>877012</v>
      </c>
      <c r="C10" s="478">
        <f>IFERROR(INDEX('P&amp;L SR 2'!A:ZZ, MATCH(D10, 'P&amp;L SR 2'!B:B, 0), MATCH("TOTAL", 'P&amp;L SR 2'!$5:$5, 0)), 0)</f>
        <v>0</v>
      </c>
      <c r="D10" s="727" t="s">
        <v>265</v>
      </c>
      <c r="E10" s="729">
        <f>877012</f>
        <v>877012</v>
      </c>
    </row>
    <row r="11" spans="1:5">
      <c r="A11" s="478" cm="1">
        <f t="array" ref="A11">INDEX('Master Mapping'!O:O, MATCH(TRUE, EXACT(TEXT(LEFT(TRIM(D11), 7), "@"), 'Master Mapping'!A:A), 0))</f>
        <v>1</v>
      </c>
      <c r="B11" s="478">
        <f t="shared" si="0"/>
        <v>265401.36</v>
      </c>
      <c r="C11" s="478">
        <f>IFERROR(INDEX('P&amp;L SR 2'!A:ZZ, MATCH(D11, 'P&amp;L SR 2'!B:B, 0), MATCH("TOTAL", 'P&amp;L SR 2'!$5:$5, 0)), 0)</f>
        <v>0</v>
      </c>
      <c r="D11" s="727" t="s">
        <v>443</v>
      </c>
      <c r="E11" s="729">
        <f>265401.36</f>
        <v>265401.36</v>
      </c>
    </row>
    <row r="12" spans="1:5">
      <c r="A12" s="478" t="e" cm="1">
        <f t="array" ref="A12">INDEX('Master Mapping'!O:O, MATCH(TRUE, EXACT(TEXT(LEFT(TRIM(D12), 7), "@"), 'Master Mapping'!A:A), 0))</f>
        <v>#N/A</v>
      </c>
      <c r="B12" s="478">
        <f t="shared" si="0"/>
        <v>1223272.54</v>
      </c>
      <c r="C12" s="478">
        <f>IFERROR(INDEX('P&amp;L SR 2'!A:ZZ, MATCH(D12, 'P&amp;L SR 2'!B:B, 0), MATCH("TOTAL", 'P&amp;L SR 2'!$5:$5, 0)), 0)</f>
        <v>0</v>
      </c>
      <c r="D12" s="727" t="s">
        <v>444</v>
      </c>
      <c r="E12" s="730">
        <f>((((E7)+(E8))+(E9))+(E10))+(E11)</f>
        <v>1223272.54</v>
      </c>
    </row>
    <row r="13" spans="1:5">
      <c r="A13" s="478" t="e" cm="1">
        <f t="array" ref="A13">INDEX('Master Mapping'!O:O, MATCH(TRUE, EXACT(TEXT(LEFT(TRIM(D13), 7), "@"), 'Master Mapping'!A:A), 0))</f>
        <v>#N/A</v>
      </c>
      <c r="B13" s="478">
        <f t="shared" si="0"/>
        <v>0</v>
      </c>
      <c r="C13" s="478">
        <f>IFERROR(INDEX('P&amp;L SR 2'!A:ZZ, MATCH(D13, 'P&amp;L SR 2'!B:B, 0), MATCH("TOTAL", 'P&amp;L SR 2'!$5:$5, 0)), 0)</f>
        <v>0</v>
      </c>
      <c r="D13" s="727" t="s">
        <v>445</v>
      </c>
      <c r="E13" s="728"/>
    </row>
    <row r="14" spans="1:5">
      <c r="A14" s="478" cm="1">
        <f t="array" ref="A14">INDEX('Master Mapping'!O:O, MATCH(TRUE, EXACT(TEXT(LEFT(TRIM(D14), 7), "@"), 'Master Mapping'!A:A), 0))</f>
        <v>3</v>
      </c>
      <c r="B14" s="478">
        <f t="shared" si="0"/>
        <v>537282</v>
      </c>
      <c r="C14" s="478">
        <f>IFERROR(INDEX('P&amp;L SR 2'!A:ZZ, MATCH(D14, 'P&amp;L SR 2'!B:B, 0), MATCH("TOTAL", 'P&amp;L SR 2'!$5:$5, 0)), 0)</f>
        <v>0</v>
      </c>
      <c r="D14" s="727" t="s">
        <v>266</v>
      </c>
      <c r="E14" s="729">
        <f>537282</f>
        <v>537282</v>
      </c>
    </row>
    <row r="15" spans="1:5">
      <c r="A15" s="478" cm="1">
        <f t="array" ref="A15">INDEX('Master Mapping'!O:O, MATCH(TRUE, EXACT(TEXT(LEFT(TRIM(D15), 7), "@"), 'Master Mapping'!A:A), 0))</f>
        <v>2</v>
      </c>
      <c r="B15" s="478">
        <f t="shared" si="0"/>
        <v>0</v>
      </c>
      <c r="C15" s="478">
        <f>IFERROR(INDEX('P&amp;L SR 2'!A:ZZ, MATCH(D15, 'P&amp;L SR 2'!B:B, 0), MATCH("TOTAL", 'P&amp;L SR 2'!$5:$5, 0)), 0)</f>
        <v>3143</v>
      </c>
      <c r="D15" s="727" t="s">
        <v>267</v>
      </c>
      <c r="E15" s="729">
        <f>3143</f>
        <v>3143</v>
      </c>
    </row>
    <row r="16" spans="1:5">
      <c r="A16" s="478" cm="1">
        <f t="array" ref="A16">INDEX('Master Mapping'!O:O, MATCH(TRUE, EXACT(TEXT(LEFT(TRIM(D16), 7), "@"), 'Master Mapping'!A:A), 0))</f>
        <v>2</v>
      </c>
      <c r="B16" s="478">
        <f t="shared" si="0"/>
        <v>0</v>
      </c>
      <c r="C16" s="478">
        <f>IFERROR(INDEX('P&amp;L SR 2'!A:ZZ, MATCH(D16, 'P&amp;L SR 2'!B:B, 0), MATCH("TOTAL", 'P&amp;L SR 2'!$5:$5, 0)), 0)</f>
        <v>0</v>
      </c>
      <c r="D16" s="727" t="s">
        <v>4361</v>
      </c>
      <c r="E16" s="728"/>
    </row>
    <row r="17" spans="1:5">
      <c r="A17" s="478" cm="1">
        <f t="array" ref="A17">INDEX('Master Mapping'!O:O, MATCH(TRUE, EXACT(TEXT(LEFT(TRIM(D17), 7), "@"), 'Master Mapping'!A:A), 0))</f>
        <v>2</v>
      </c>
      <c r="B17" s="478">
        <f t="shared" si="0"/>
        <v>0</v>
      </c>
      <c r="C17" s="478">
        <f>IFERROR(INDEX('P&amp;L SR 2'!A:ZZ, MATCH(D17, 'P&amp;L SR 2'!B:B, 0), MATCH("TOTAL", 'P&amp;L SR 2'!$5:$5, 0)), 0)</f>
        <v>0</v>
      </c>
      <c r="D17" s="727" t="s">
        <v>446</v>
      </c>
      <c r="E17" s="728"/>
    </row>
    <row r="18" spans="1:5">
      <c r="A18" s="478" t="e" cm="1">
        <f t="array" ref="A18">INDEX('Master Mapping'!O:O, MATCH(TRUE, EXACT(TEXT(LEFT(TRIM(D18), 7), "@"), 'Master Mapping'!A:A), 0))</f>
        <v>#N/A</v>
      </c>
      <c r="B18" s="478">
        <f t="shared" si="0"/>
        <v>537282</v>
      </c>
      <c r="C18" s="478">
        <f>IFERROR(INDEX('P&amp;L SR 2'!A:ZZ, MATCH(D18, 'P&amp;L SR 2'!B:B, 0), MATCH("TOTAL", 'P&amp;L SR 2'!$5:$5, 0)), 0)</f>
        <v>3143</v>
      </c>
      <c r="D18" s="727" t="s">
        <v>447</v>
      </c>
      <c r="E18" s="730">
        <f>((((E13)+(E14))+(E15))+(E16))+(E17)</f>
        <v>540425</v>
      </c>
    </row>
    <row r="19" spans="1:5">
      <c r="A19" s="478" t="e" cm="1">
        <f t="array" ref="A19">INDEX('Master Mapping'!O:O, MATCH(TRUE, EXACT(TEXT(LEFT(TRIM(D19), 7), "@"), 'Master Mapping'!A:A), 0))</f>
        <v>#N/A</v>
      </c>
      <c r="B19" s="478">
        <f t="shared" si="0"/>
        <v>0</v>
      </c>
      <c r="C19" s="478">
        <f>IFERROR(INDEX('P&amp;L SR 2'!A:ZZ, MATCH(D19, 'P&amp;L SR 2'!B:B, 0), MATCH("TOTAL", 'P&amp;L SR 2'!$5:$5, 0)), 0)</f>
        <v>0</v>
      </c>
      <c r="D19" s="727" t="s">
        <v>448</v>
      </c>
      <c r="E19" s="728"/>
    </row>
    <row r="20" spans="1:5">
      <c r="A20" s="478" cm="1">
        <f t="array" ref="A20">INDEX('Master Mapping'!O:O, MATCH(TRUE, EXACT(TEXT(LEFT(TRIM(D20), 7), "@"), 'Master Mapping'!A:A), 0))</f>
        <v>5</v>
      </c>
      <c r="B20" s="478">
        <f t="shared" si="0"/>
        <v>0</v>
      </c>
      <c r="C20" s="478">
        <f>IFERROR(INDEX('P&amp;L SR 2'!A:ZZ, MATCH(D20, 'P&amp;L SR 2'!B:B, 0), MATCH("TOTAL", 'P&amp;L SR 2'!$5:$5, 0)), 0)</f>
        <v>106375.79</v>
      </c>
      <c r="D20" s="727" t="s">
        <v>449</v>
      </c>
      <c r="E20" s="729">
        <f>106375.79</f>
        <v>106375.79</v>
      </c>
    </row>
    <row r="21" spans="1:5">
      <c r="A21" s="478" cm="1">
        <f t="array" ref="A21">INDEX('Master Mapping'!O:O, MATCH(TRUE, EXACT(TEXT(LEFT(TRIM(D21), 7), "@"), 'Master Mapping'!A:A), 0))</f>
        <v>5</v>
      </c>
      <c r="B21" s="478">
        <f t="shared" si="0"/>
        <v>0</v>
      </c>
      <c r="C21" s="478">
        <f>IFERROR(INDEX('P&amp;L SR 2'!A:ZZ, MATCH(D21, 'P&amp;L SR 2'!B:B, 0), MATCH("TOTAL", 'P&amp;L SR 2'!$5:$5, 0)), 0)</f>
        <v>78424</v>
      </c>
      <c r="D21" s="727" t="s">
        <v>268</v>
      </c>
      <c r="E21" s="729">
        <f>78424</f>
        <v>78424</v>
      </c>
    </row>
    <row r="22" spans="1:5">
      <c r="A22" s="478" cm="1">
        <f t="array" ref="A22">INDEX('Master Mapping'!O:O, MATCH(TRUE, EXACT(TEXT(LEFT(TRIM(D22), 7), "@"), 'Master Mapping'!A:A), 0))</f>
        <v>5</v>
      </c>
      <c r="B22" s="478">
        <f t="shared" si="0"/>
        <v>0</v>
      </c>
      <c r="C22" s="478">
        <f>IFERROR(INDEX('P&amp;L SR 2'!A:ZZ, MATCH(D22, 'P&amp;L SR 2'!B:B, 0), MATCH("TOTAL", 'P&amp;L SR 2'!$5:$5, 0)), 0)</f>
        <v>451178</v>
      </c>
      <c r="D22" s="727" t="s">
        <v>450</v>
      </c>
      <c r="E22" s="729">
        <f>451178</f>
        <v>451178</v>
      </c>
    </row>
    <row r="23" spans="1:5">
      <c r="A23" s="478" cm="1">
        <f t="array" ref="A23">INDEX('Master Mapping'!O:O, MATCH(TRUE, EXACT(TEXT(LEFT(TRIM(D23), 7), "@"), 'Master Mapping'!A:A), 0))</f>
        <v>5</v>
      </c>
      <c r="B23" s="478">
        <f t="shared" si="0"/>
        <v>0</v>
      </c>
      <c r="C23" s="478">
        <f>IFERROR(INDEX('P&amp;L SR 2'!A:ZZ, MATCH(D23, 'P&amp;L SR 2'!B:B, 0), MATCH("TOTAL", 'P&amp;L SR 2'!$5:$5, 0)), 0)</f>
        <v>22338</v>
      </c>
      <c r="D23" s="727" t="s">
        <v>451</v>
      </c>
      <c r="E23" s="729">
        <f>22338</f>
        <v>22338</v>
      </c>
    </row>
    <row r="24" spans="1:5">
      <c r="A24" s="478" cm="1">
        <f t="array" ref="A24">INDEX('Master Mapping'!O:O, MATCH(TRUE, EXACT(TEXT(LEFT(TRIM(D24), 7), "@"), 'Master Mapping'!A:A), 0))</f>
        <v>5</v>
      </c>
      <c r="B24" s="478">
        <f t="shared" si="0"/>
        <v>0</v>
      </c>
      <c r="C24" s="478">
        <f>IFERROR(INDEX('P&amp;L SR 2'!A:ZZ, MATCH(D24, 'P&amp;L SR 2'!B:B, 0), MATCH("TOTAL", 'P&amp;L SR 2'!$5:$5, 0)), 0)</f>
        <v>4341</v>
      </c>
      <c r="D24" s="727" t="s">
        <v>278</v>
      </c>
      <c r="E24" s="729">
        <f>4341</f>
        <v>4341</v>
      </c>
    </row>
    <row r="25" spans="1:5">
      <c r="A25" s="478" cm="1">
        <f t="array" ref="A25">INDEX('Master Mapping'!O:O, MATCH(TRUE, EXACT(TEXT(LEFT(TRIM(D25), 7), "@"), 'Master Mapping'!A:A), 0))</f>
        <v>5</v>
      </c>
      <c r="B25" s="478">
        <f t="shared" si="0"/>
        <v>0</v>
      </c>
      <c r="C25" s="478">
        <f>IFERROR(INDEX('P&amp;L SR 2'!A:ZZ, MATCH(D25, 'P&amp;L SR 2'!B:B, 0), MATCH("TOTAL", 'P&amp;L SR 2'!$5:$5, 0)), 0)</f>
        <v>103689</v>
      </c>
      <c r="D25" s="727" t="s">
        <v>730</v>
      </c>
      <c r="E25" s="729">
        <f>103689</f>
        <v>103689</v>
      </c>
    </row>
    <row r="26" spans="1:5">
      <c r="A26" s="478" cm="1">
        <f t="array" ref="A26">INDEX('Master Mapping'!O:O, MATCH(TRUE, EXACT(TEXT(LEFT(TRIM(D26), 7), "@"), 'Master Mapping'!A:A), 0))</f>
        <v>5</v>
      </c>
      <c r="B26" s="478">
        <f t="shared" si="0"/>
        <v>0</v>
      </c>
      <c r="C26" s="478">
        <f>IFERROR(INDEX('P&amp;L SR 2'!A:ZZ, MATCH(D26, 'P&amp;L SR 2'!B:B, 0), MATCH("TOTAL", 'P&amp;L SR 2'!$5:$5, 0)), 0)</f>
        <v>0</v>
      </c>
      <c r="D26" s="727" t="s">
        <v>4362</v>
      </c>
      <c r="E26" s="728"/>
    </row>
    <row r="27" spans="1:5">
      <c r="A27" s="478" t="e" cm="1">
        <f t="array" ref="A27">INDEX('Master Mapping'!O:O, MATCH(TRUE, EXACT(TEXT(LEFT(TRIM(D27), 7), "@"), 'Master Mapping'!A:A), 0))</f>
        <v>#N/A</v>
      </c>
      <c r="B27" s="478">
        <f t="shared" si="0"/>
        <v>0</v>
      </c>
      <c r="C27" s="478">
        <f>IFERROR(INDEX('P&amp;L SR 2'!A:ZZ, MATCH(D27, 'P&amp;L SR 2'!B:B, 0), MATCH("TOTAL", 'P&amp;L SR 2'!$5:$5, 0)), 0)</f>
        <v>766345.79</v>
      </c>
      <c r="D27" s="727" t="s">
        <v>453</v>
      </c>
      <c r="E27" s="730">
        <f>(((((((E19)+(E20))+(E21))+(E22))+(E23))+(E24))+(E25))+(E26)</f>
        <v>766345.79</v>
      </c>
    </row>
    <row r="28" spans="1:5">
      <c r="A28" s="478" t="e" cm="1">
        <f t="array" ref="A28">INDEX('Master Mapping'!O:O, MATCH(TRUE, EXACT(TEXT(LEFT(TRIM(D28), 7), "@"), 'Master Mapping'!A:A), 0))</f>
        <v>#N/A</v>
      </c>
      <c r="B28" s="478">
        <f t="shared" si="0"/>
        <v>1760554.54</v>
      </c>
      <c r="C28" s="478">
        <f>IFERROR(INDEX('P&amp;L SR 2'!A:ZZ, MATCH(D28, 'P&amp;L SR 2'!B:B, 0), MATCH("TOTAL", 'P&amp;L SR 2'!$5:$5, 0)), 0)</f>
        <v>769488.79</v>
      </c>
      <c r="D28" s="727" t="s">
        <v>454</v>
      </c>
      <c r="E28" s="730">
        <f>((E12)+(E18))+(E27)</f>
        <v>2530043.33</v>
      </c>
    </row>
    <row r="29" spans="1:5">
      <c r="A29" s="478" t="e" cm="1">
        <f t="array" ref="A29">INDEX('Master Mapping'!O:O, MATCH(TRUE, EXACT(TEXT(LEFT(TRIM(D29), 7), "@"), 'Master Mapping'!A:A), 0))</f>
        <v>#N/A</v>
      </c>
      <c r="B29" s="478">
        <f t="shared" si="0"/>
        <v>1760554.54</v>
      </c>
      <c r="C29" s="478">
        <f>IFERROR(INDEX('P&amp;L SR 2'!A:ZZ, MATCH(D29, 'P&amp;L SR 2'!B:B, 0), MATCH("TOTAL", 'P&amp;L SR 2'!$5:$5, 0)), 0)</f>
        <v>769488.79</v>
      </c>
      <c r="D29" s="727" t="s">
        <v>270</v>
      </c>
      <c r="E29" s="730">
        <f>(E28)-(0)</f>
        <v>2530043.33</v>
      </c>
    </row>
    <row r="30" spans="1:5">
      <c r="A30" s="478" t="e" cm="1">
        <f t="array" ref="A30">INDEX('Master Mapping'!O:O, MATCH(TRUE, EXACT(TEXT(LEFT(TRIM(D30), 7), "@"), 'Master Mapping'!A:A), 0))</f>
        <v>#N/A</v>
      </c>
      <c r="B30" s="478">
        <f t="shared" si="0"/>
        <v>0</v>
      </c>
      <c r="C30" s="478">
        <f>IFERROR(INDEX('P&amp;L SR 2'!A:ZZ, MATCH(D30, 'P&amp;L SR 2'!B:B, 0), MATCH("TOTAL", 'P&amp;L SR 2'!$5:$5, 0)), 0)</f>
        <v>0</v>
      </c>
      <c r="D30" s="727" t="s">
        <v>243</v>
      </c>
      <c r="E30" s="728"/>
    </row>
    <row r="31" spans="1:5">
      <c r="A31" s="478" t="e" cm="1">
        <f t="array" ref="A31">INDEX('Master Mapping'!O:O, MATCH(TRUE, EXACT(TEXT(LEFT(TRIM(D31), 7), "@"), 'Master Mapping'!A:A), 0))</f>
        <v>#N/A</v>
      </c>
      <c r="B31" s="478">
        <f t="shared" si="0"/>
        <v>0</v>
      </c>
      <c r="C31" s="478">
        <f>IFERROR(INDEX('P&amp;L SR 2'!A:ZZ, MATCH(D31, 'P&amp;L SR 2'!B:B, 0), MATCH("TOTAL", 'P&amp;L SR 2'!$5:$5, 0)), 0)</f>
        <v>0</v>
      </c>
      <c r="D31" s="727" t="s">
        <v>455</v>
      </c>
      <c r="E31" s="728"/>
    </row>
    <row r="32" spans="1:5">
      <c r="A32" s="478" cm="1">
        <f t="array" ref="A32">INDEX('Master Mapping'!O:O, MATCH(TRUE, EXACT(TEXT(LEFT(TRIM(D32), 7), "@"), 'Master Mapping'!A:A), 0))</f>
        <v>13</v>
      </c>
      <c r="B32" s="478">
        <f t="shared" si="0"/>
        <v>22993.1</v>
      </c>
      <c r="C32" s="478">
        <f>IFERROR(INDEX('P&amp;L SR 2'!A:ZZ, MATCH(D32, 'P&amp;L SR 2'!B:B, 0), MATCH("TOTAL", 'P&amp;L SR 2'!$5:$5, 0)), 0)</f>
        <v>0</v>
      </c>
      <c r="D32" s="727" t="s">
        <v>456</v>
      </c>
      <c r="E32" s="729">
        <f>22993.1</f>
        <v>22993.1</v>
      </c>
    </row>
    <row r="33" spans="1:5">
      <c r="A33" s="478" cm="1">
        <f t="array" ref="A33">INDEX('Master Mapping'!O:O, MATCH(TRUE, EXACT(TEXT(LEFT(TRIM(D33), 7), "@"), 'Master Mapping'!A:A), 0))</f>
        <v>16</v>
      </c>
      <c r="B33" s="478">
        <f t="shared" si="0"/>
        <v>138372.74</v>
      </c>
      <c r="C33" s="478">
        <f>IFERROR(INDEX('P&amp;L SR 2'!A:ZZ, MATCH(D33, 'P&amp;L SR 2'!B:B, 0), MATCH("TOTAL", 'P&amp;L SR 2'!$5:$5, 0)), 0)</f>
        <v>3333.1</v>
      </c>
      <c r="D33" s="727" t="s">
        <v>457</v>
      </c>
      <c r="E33" s="729">
        <f>141705.84</f>
        <v>141705.84</v>
      </c>
    </row>
    <row r="34" spans="1:5">
      <c r="A34" s="478" cm="1">
        <f t="array" ref="A34">INDEX('Master Mapping'!O:O, MATCH(TRUE, EXACT(TEXT(LEFT(TRIM(D34), 7), "@"), 'Master Mapping'!A:A), 0))</f>
        <v>16</v>
      </c>
      <c r="B34" s="478">
        <f t="shared" si="0"/>
        <v>51130.04</v>
      </c>
      <c r="C34" s="478">
        <f>IFERROR(INDEX('P&amp;L SR 2'!A:ZZ, MATCH(D34, 'P&amp;L SR 2'!B:B, 0), MATCH("TOTAL", 'P&amp;L SR 2'!$5:$5, 0)), 0)</f>
        <v>0</v>
      </c>
      <c r="D34" s="727" t="s">
        <v>458</v>
      </c>
      <c r="E34" s="729">
        <f>51130.04</f>
        <v>51130.04</v>
      </c>
    </row>
    <row r="35" spans="1:5">
      <c r="A35" s="478" cm="1">
        <f t="array" ref="A35">INDEX('Master Mapping'!O:O, MATCH(TRUE, EXACT(TEXT(LEFT(TRIM(D35), 7), "@"), 'Master Mapping'!A:A), 0))</f>
        <v>16</v>
      </c>
      <c r="B35" s="478">
        <f t="shared" si="0"/>
        <v>49026.2</v>
      </c>
      <c r="C35" s="478">
        <f>IFERROR(INDEX('P&amp;L SR 2'!A:ZZ, MATCH(D35, 'P&amp;L SR 2'!B:B, 0), MATCH("TOTAL", 'P&amp;L SR 2'!$5:$5, 0)), 0)</f>
        <v>0</v>
      </c>
      <c r="D35" s="727" t="s">
        <v>459</v>
      </c>
      <c r="E35" s="729">
        <f>49026.2</f>
        <v>49026.2</v>
      </c>
    </row>
    <row r="36" spans="1:5">
      <c r="A36" s="478" cm="1">
        <f t="array" ref="A36">INDEX('Master Mapping'!O:O, MATCH(TRUE, EXACT(TEXT(LEFT(TRIM(D36), 7), "@"), 'Master Mapping'!A:A), 0))</f>
        <v>7</v>
      </c>
      <c r="B36" s="478">
        <f t="shared" si="0"/>
        <v>0</v>
      </c>
      <c r="C36" s="478">
        <f>IFERROR(INDEX('P&amp;L SR 2'!A:ZZ, MATCH(D36, 'P&amp;L SR 2'!B:B, 0), MATCH("TOTAL", 'P&amp;L SR 2'!$5:$5, 0)), 0)</f>
        <v>0</v>
      </c>
      <c r="D36" s="727" t="s">
        <v>4363</v>
      </c>
      <c r="E36" s="728"/>
    </row>
    <row r="37" spans="1:5">
      <c r="A37" s="478" cm="1">
        <f t="array" ref="A37">INDEX('Master Mapping'!O:O, MATCH(TRUE, EXACT(TEXT(LEFT(TRIM(D37), 7), "@"), 'Master Mapping'!A:A), 0))</f>
        <v>7</v>
      </c>
      <c r="B37" s="478">
        <f t="shared" si="0"/>
        <v>229208.47999999998</v>
      </c>
      <c r="C37" s="478">
        <f>IFERROR(INDEX('P&amp;L SR 2'!A:ZZ, MATCH(D37, 'P&amp;L SR 2'!B:B, 0), MATCH("TOTAL", 'P&amp;L SR 2'!$5:$5, 0)), 0)</f>
        <v>291424.19</v>
      </c>
      <c r="D37" s="727" t="s">
        <v>460</v>
      </c>
      <c r="E37" s="729">
        <f>520632.67</f>
        <v>520632.67</v>
      </c>
    </row>
    <row r="38" spans="1:5">
      <c r="A38" s="478" cm="1">
        <f t="array" ref="A38">INDEX('Master Mapping'!O:O, MATCH(TRUE, EXACT(TEXT(LEFT(TRIM(D38), 7), "@"), 'Master Mapping'!A:A), 0))</f>
        <v>8</v>
      </c>
      <c r="B38" s="478">
        <f t="shared" si="0"/>
        <v>45661.729999999996</v>
      </c>
      <c r="C38" s="478">
        <f>IFERROR(INDEX('P&amp;L SR 2'!A:ZZ, MATCH(D38, 'P&amp;L SR 2'!B:B, 0), MATCH("TOTAL", 'P&amp;L SR 2'!$5:$5, 0)), 0)</f>
        <v>31676.19</v>
      </c>
      <c r="D38" s="727" t="s">
        <v>461</v>
      </c>
      <c r="E38" s="729">
        <f>77337.92</f>
        <v>77337.919999999998</v>
      </c>
    </row>
    <row r="39" spans="1:5">
      <c r="A39" s="478" cm="1">
        <f t="array" ref="A39">INDEX('Master Mapping'!O:O, MATCH(TRUE, EXACT(TEXT(LEFT(TRIM(D39), 7), "@"), 'Master Mapping'!A:A), 0))</f>
        <v>11</v>
      </c>
      <c r="B39" s="478">
        <f t="shared" si="0"/>
        <v>0</v>
      </c>
      <c r="C39" s="478">
        <f>IFERROR(INDEX('P&amp;L SR 2'!A:ZZ, MATCH(D39, 'P&amp;L SR 2'!B:B, 0), MATCH("TOTAL", 'P&amp;L SR 2'!$5:$5, 0)), 0)</f>
        <v>0</v>
      </c>
      <c r="D39" s="727" t="s">
        <v>4293</v>
      </c>
      <c r="E39" s="728"/>
    </row>
    <row r="40" spans="1:5">
      <c r="A40" s="478" cm="1">
        <f t="array" ref="A40">INDEX('Master Mapping'!O:O, MATCH(TRUE, EXACT(TEXT(LEFT(TRIM(D40), 7), "@"), 'Master Mapping'!A:A), 0))</f>
        <v>13</v>
      </c>
      <c r="B40" s="478">
        <f t="shared" si="0"/>
        <v>36578.629999999997</v>
      </c>
      <c r="C40" s="478">
        <f>IFERROR(INDEX('P&amp;L SR 2'!A:ZZ, MATCH(D40, 'P&amp;L SR 2'!B:B, 0), MATCH("TOTAL", 'P&amp;L SR 2'!$5:$5, 0)), 0)</f>
        <v>0</v>
      </c>
      <c r="D40" s="727" t="s">
        <v>462</v>
      </c>
      <c r="E40" s="729">
        <f>36578.63</f>
        <v>36578.629999999997</v>
      </c>
    </row>
    <row r="41" spans="1:5">
      <c r="A41" s="478" cm="1">
        <f t="array" ref="A41">INDEX('Master Mapping'!O:O, MATCH(TRUE, EXACT(TEXT(LEFT(TRIM(D41), 7), "@"), 'Master Mapping'!A:A), 0))</f>
        <v>13</v>
      </c>
      <c r="B41" s="478">
        <f t="shared" si="0"/>
        <v>17783.099999999999</v>
      </c>
      <c r="C41" s="478">
        <f>IFERROR(INDEX('P&amp;L SR 2'!A:ZZ, MATCH(D41, 'P&amp;L SR 2'!B:B, 0), MATCH("TOTAL", 'P&amp;L SR 2'!$5:$5, 0)), 0)</f>
        <v>0</v>
      </c>
      <c r="D41" s="727" t="s">
        <v>731</v>
      </c>
      <c r="E41" s="729">
        <f>17783.1</f>
        <v>17783.099999999999</v>
      </c>
    </row>
    <row r="42" spans="1:5">
      <c r="A42" s="478" cm="1">
        <f t="array" ref="A42">INDEX('Master Mapping'!O:O, MATCH(TRUE, EXACT(TEXT(LEFT(TRIM(D42), 7), "@"), 'Master Mapping'!A:A), 0))</f>
        <v>14</v>
      </c>
      <c r="B42" s="478">
        <f t="shared" si="0"/>
        <v>27896.61</v>
      </c>
      <c r="C42" s="478">
        <f>IFERROR(INDEX('P&amp;L SR 2'!A:ZZ, MATCH(D42, 'P&amp;L SR 2'!B:B, 0), MATCH("TOTAL", 'P&amp;L SR 2'!$5:$5, 0)), 0)</f>
        <v>6073.4</v>
      </c>
      <c r="D42" s="727" t="s">
        <v>463</v>
      </c>
      <c r="E42" s="729">
        <f>33970.01</f>
        <v>33970.01</v>
      </c>
    </row>
    <row r="43" spans="1:5">
      <c r="A43" s="478" cm="1">
        <f t="array" ref="A43">INDEX('Master Mapping'!O:O, MATCH(TRUE, EXACT(TEXT(LEFT(TRIM(D43), 7), "@"), 'Master Mapping'!A:A), 0))</f>
        <v>16</v>
      </c>
      <c r="B43" s="478">
        <f t="shared" si="0"/>
        <v>48557.09</v>
      </c>
      <c r="C43" s="478">
        <f>IFERROR(INDEX('P&amp;L SR 2'!A:ZZ, MATCH(D43, 'P&amp;L SR 2'!B:B, 0), MATCH("TOTAL", 'P&amp;L SR 2'!$5:$5, 0)), 0)</f>
        <v>0</v>
      </c>
      <c r="D43" s="727" t="s">
        <v>464</v>
      </c>
      <c r="E43" s="729">
        <f>48557.09</f>
        <v>48557.09</v>
      </c>
    </row>
    <row r="44" spans="1:5">
      <c r="A44" s="478" cm="1">
        <f t="array" ref="A44">INDEX('Master Mapping'!O:O, MATCH(TRUE, EXACT(TEXT(LEFT(TRIM(D44), 7), "@"), 'Master Mapping'!A:A), 0))</f>
        <v>7</v>
      </c>
      <c r="B44" s="478">
        <f t="shared" si="0"/>
        <v>1671</v>
      </c>
      <c r="C44" s="478">
        <f>IFERROR(INDEX('P&amp;L SR 2'!A:ZZ, MATCH(D44, 'P&amp;L SR 2'!B:B, 0), MATCH("TOTAL", 'P&amp;L SR 2'!$5:$5, 0)), 0)</f>
        <v>0</v>
      </c>
      <c r="D44" s="727" t="s">
        <v>4364</v>
      </c>
      <c r="E44" s="729">
        <f>1671</f>
        <v>1671</v>
      </c>
    </row>
    <row r="45" spans="1:5">
      <c r="A45" s="478" cm="1">
        <f t="array" ref="A45">INDEX('Master Mapping'!O:O, MATCH(TRUE, EXACT(TEXT(LEFT(TRIM(D45), 7), "@"), 'Master Mapping'!A:A), 0))</f>
        <v>8</v>
      </c>
      <c r="B45" s="478">
        <f t="shared" si="0"/>
        <v>10267.790000000001</v>
      </c>
      <c r="C45" s="478">
        <f>IFERROR(INDEX('P&amp;L SR 2'!A:ZZ, MATCH(D45, 'P&amp;L SR 2'!B:B, 0), MATCH("TOTAL", 'P&amp;L SR 2'!$5:$5, 0)), 0)</f>
        <v>13066</v>
      </c>
      <c r="D45" s="727" t="s">
        <v>271</v>
      </c>
      <c r="E45" s="729">
        <f>23333.79</f>
        <v>23333.79</v>
      </c>
    </row>
    <row r="46" spans="1:5">
      <c r="A46" s="478" cm="1">
        <f t="array" ref="A46">INDEX('Master Mapping'!O:O, MATCH(TRUE, EXACT(TEXT(LEFT(TRIM(D46), 7), "@"), 'Master Mapping'!A:A), 0))</f>
        <v>11</v>
      </c>
      <c r="B46" s="478">
        <f t="shared" si="0"/>
        <v>0</v>
      </c>
      <c r="C46" s="478">
        <f>IFERROR(INDEX('P&amp;L SR 2'!A:ZZ, MATCH(D46, 'P&amp;L SR 2'!B:B, 0), MATCH("TOTAL", 'P&amp;L SR 2'!$5:$5, 0)), 0)</f>
        <v>0</v>
      </c>
      <c r="D46" s="727" t="s">
        <v>4365</v>
      </c>
      <c r="E46" s="728"/>
    </row>
    <row r="47" spans="1:5">
      <c r="A47" s="478" cm="1">
        <f t="array" ref="A47">INDEX('Master Mapping'!O:O, MATCH(TRUE, EXACT(TEXT(LEFT(TRIM(D47), 7), "@"), 'Master Mapping'!A:A), 0))</f>
        <v>18</v>
      </c>
      <c r="B47" s="478">
        <f t="shared" si="0"/>
        <v>46829.47</v>
      </c>
      <c r="C47" s="478">
        <f>IFERROR(INDEX('P&amp;L SR 2'!A:ZZ, MATCH(D47, 'P&amp;L SR 2'!B:B, 0), MATCH("TOTAL", 'P&amp;L SR 2'!$5:$5, 0)), 0)</f>
        <v>0</v>
      </c>
      <c r="D47" s="727" t="s">
        <v>465</v>
      </c>
      <c r="E47" s="729">
        <f>46829.47</f>
        <v>46829.47</v>
      </c>
    </row>
    <row r="48" spans="1:5">
      <c r="A48" s="478" t="e" cm="1">
        <f t="array" ref="A48">INDEX('Master Mapping'!O:O, MATCH(TRUE, EXACT(TEXT(LEFT(TRIM(D48), 7), "@"), 'Master Mapping'!A:A), 0))</f>
        <v>#N/A</v>
      </c>
      <c r="B48" s="478">
        <f t="shared" si="0"/>
        <v>725975.9800000001</v>
      </c>
      <c r="C48" s="478">
        <f>IFERROR(INDEX('P&amp;L SR 2'!A:ZZ, MATCH(D48, 'P&amp;L SR 2'!B:B, 0), MATCH("TOTAL", 'P&amp;L SR 2'!$5:$5, 0)), 0)</f>
        <v>345572.88</v>
      </c>
      <c r="D48" s="727" t="s">
        <v>466</v>
      </c>
      <c r="E48" s="730">
        <f>((((((((((((((((E31)+(E32))+(E33))+(E34))+(E35))+(E36))+(E37))+(E38))+(E39))+(E40))+(E41))+(E42))+(E43))+(E44))+(E45))+(E46))+(E47)</f>
        <v>1071548.8600000001</v>
      </c>
    </row>
    <row r="49" spans="1:5">
      <c r="A49" s="478" t="e" cm="1">
        <f t="array" ref="A49">INDEX('Master Mapping'!O:O, MATCH(TRUE, EXACT(TEXT(LEFT(TRIM(D49), 7), "@"), 'Master Mapping'!A:A), 0))</f>
        <v>#N/A</v>
      </c>
      <c r="B49" s="478">
        <f t="shared" si="0"/>
        <v>0</v>
      </c>
      <c r="C49" s="478">
        <f>IFERROR(INDEX('P&amp;L SR 2'!A:ZZ, MATCH(D49, 'P&amp;L SR 2'!B:B, 0), MATCH("TOTAL", 'P&amp;L SR 2'!$5:$5, 0)), 0)</f>
        <v>0</v>
      </c>
      <c r="D49" s="727" t="s">
        <v>467</v>
      </c>
      <c r="E49" s="728"/>
    </row>
    <row r="50" spans="1:5">
      <c r="A50" s="478" t="e" cm="1">
        <f t="array" ref="A50">INDEX('Master Mapping'!O:O, MATCH(TRUE, EXACT(TEXT(LEFT(TRIM(D50), 7), "@"), 'Master Mapping'!A:A), 0))</f>
        <v>#N/A</v>
      </c>
      <c r="B50" s="478">
        <f t="shared" si="0"/>
        <v>121999.73</v>
      </c>
      <c r="C50" s="478">
        <f>IFERROR(INDEX('P&amp;L SR 2'!A:ZZ, MATCH(D50, 'P&amp;L SR 2'!B:B, 0), MATCH("TOTAL", 'P&amp;L SR 2'!$5:$5, 0)), 0)</f>
        <v>0</v>
      </c>
      <c r="D50" s="727" t="s">
        <v>468</v>
      </c>
      <c r="E50" s="942">
        <v>121999.73</v>
      </c>
    </row>
    <row r="51" spans="1:5">
      <c r="A51" s="478" t="e" cm="1">
        <f t="array" ref="A51">INDEX('Master Mapping'!O:O, MATCH(TRUE, EXACT(TEXT(LEFT(TRIM(D51), 7), "@"), 'Master Mapping'!A:A), 0))</f>
        <v>#N/A</v>
      </c>
      <c r="B51" s="478">
        <f t="shared" si="0"/>
        <v>64943.46</v>
      </c>
      <c r="C51" s="478">
        <f>IFERROR(INDEX('P&amp;L SR 2'!A:ZZ, MATCH(D51, 'P&amp;L SR 2'!B:B, 0), MATCH("TOTAL", 'P&amp;L SR 2'!$5:$5, 0)), 0)</f>
        <v>0</v>
      </c>
      <c r="D51" s="727" t="s">
        <v>4366</v>
      </c>
      <c r="E51" s="729">
        <f>64943.46</f>
        <v>64943.46</v>
      </c>
    </row>
    <row r="52" spans="1:5">
      <c r="A52" s="478" t="e" cm="1">
        <f t="array" ref="A52">INDEX('Master Mapping'!O:O, MATCH(TRUE, EXACT(TEXT(LEFT(TRIM(D52), 7), "@"), 'Master Mapping'!A:A), 0))</f>
        <v>#N/A</v>
      </c>
      <c r="B52" s="478">
        <f t="shared" si="0"/>
        <v>14611.52</v>
      </c>
      <c r="C52" s="478">
        <f>IFERROR(INDEX('P&amp;L SR 2'!A:ZZ, MATCH(D52, 'P&amp;L SR 2'!B:B, 0), MATCH("TOTAL", 'P&amp;L SR 2'!$5:$5, 0)), 0)</f>
        <v>0</v>
      </c>
      <c r="D52" s="727" t="s">
        <v>486</v>
      </c>
      <c r="E52" s="729">
        <f>14611.52</f>
        <v>14611.52</v>
      </c>
    </row>
    <row r="53" spans="1:5">
      <c r="A53" s="478" t="e" cm="1">
        <f t="array" ref="A53">INDEX('Master Mapping'!O:O, MATCH(TRUE, EXACT(TEXT(LEFT(TRIM(D53), 7), "@"), 'Master Mapping'!A:A), 0))</f>
        <v>#N/A</v>
      </c>
      <c r="B53" s="478">
        <f t="shared" si="0"/>
        <v>9810.67</v>
      </c>
      <c r="C53" s="478">
        <f>IFERROR(INDEX('P&amp;L SR 2'!A:ZZ, MATCH(D53, 'P&amp;L SR 2'!B:B, 0), MATCH("TOTAL", 'P&amp;L SR 2'!$5:$5, 0)), 0)</f>
        <v>0</v>
      </c>
      <c r="D53" s="727" t="s">
        <v>495</v>
      </c>
      <c r="E53" s="729">
        <f>9810.67</f>
        <v>9810.67</v>
      </c>
    </row>
    <row r="54" spans="1:5">
      <c r="A54" s="478"/>
      <c r="B54" s="478">
        <f t="shared" si="0"/>
        <v>305.5</v>
      </c>
      <c r="C54" s="478">
        <f>IFERROR(INDEX('P&amp;L SR 2'!A:ZZ, MATCH(D54, 'P&amp;L SR 2'!B:B, 0), MATCH("TOTAL", 'P&amp;L SR 2'!$5:$5, 0)), 0)</f>
        <v>0</v>
      </c>
      <c r="D54" s="727" t="s">
        <v>496</v>
      </c>
      <c r="E54" s="729">
        <f>305.5</f>
        <v>305.5</v>
      </c>
    </row>
    <row r="55" spans="1:5">
      <c r="A55" s="478" t="e" cm="1">
        <f t="array" ref="A55">INDEX('Master Mapping'!O:O, MATCH(TRUE, EXACT(TEXT(LEFT(TRIM(D55), 7), "@"), 'Master Mapping'!A:A), 0))</f>
        <v>#N/A</v>
      </c>
      <c r="B55" s="478">
        <f t="shared" si="0"/>
        <v>10116.17</v>
      </c>
      <c r="C55" s="478">
        <f>IFERROR(INDEX('P&amp;L SR 2'!A:ZZ, MATCH(D55, 'P&amp;L SR 2'!B:B, 0), MATCH("TOTAL", 'P&amp;L SR 2'!$5:$5, 0)), 0)</f>
        <v>0</v>
      </c>
      <c r="D55" s="727" t="s">
        <v>500</v>
      </c>
      <c r="E55" s="730">
        <f>(E53)+(E54)</f>
        <v>10116.17</v>
      </c>
    </row>
    <row r="56" spans="1:5">
      <c r="A56" s="478" t="e" cm="1">
        <f t="array" ref="A56">INDEX('Master Mapping'!O:O, MATCH(TRUE, EXACT(TEXT(LEFT(TRIM(D56), 7), "@"), 'Master Mapping'!A:A), 0))</f>
        <v>#N/A</v>
      </c>
      <c r="B56" s="478">
        <f t="shared" si="0"/>
        <v>6606.33</v>
      </c>
      <c r="C56" s="478">
        <f>IFERROR(INDEX('P&amp;L SR 2'!A:ZZ, MATCH(D56, 'P&amp;L SR 2'!B:B, 0), MATCH("TOTAL", 'P&amp;L SR 2'!$5:$5, 0)), 0)</f>
        <v>0</v>
      </c>
      <c r="D56" s="727" t="s">
        <v>501</v>
      </c>
      <c r="E56" s="729">
        <f>6606.33</f>
        <v>6606.33</v>
      </c>
    </row>
    <row r="57" spans="1:5">
      <c r="A57" s="478" t="e" cm="1">
        <f t="array" ref="A57">INDEX('Master Mapping'!O:O, MATCH(TRUE, EXACT(TEXT(LEFT(TRIM(D57), 7), "@"), 'Master Mapping'!A:A), 0))</f>
        <v>#N/A</v>
      </c>
      <c r="B57" s="478">
        <f t="shared" si="0"/>
        <v>4422.34</v>
      </c>
      <c r="C57" s="478">
        <f>IFERROR(INDEX('P&amp;L SR 2'!A:ZZ, MATCH(D57, 'P&amp;L SR 2'!B:B, 0), MATCH("TOTAL", 'P&amp;L SR 2'!$5:$5, 0)), 0)</f>
        <v>0</v>
      </c>
      <c r="D57" s="727" t="s">
        <v>272</v>
      </c>
      <c r="E57" s="729">
        <f>4422.34</f>
        <v>4422.34</v>
      </c>
    </row>
    <row r="58" spans="1:5">
      <c r="A58" s="478" t="e" cm="1">
        <f t="array" ref="A58">INDEX('Master Mapping'!O:O, MATCH(TRUE, EXACT(TEXT(LEFT(TRIM(D58), 7), "@"), 'Master Mapping'!A:A), 0))</f>
        <v>#N/A</v>
      </c>
      <c r="B58" s="478">
        <f t="shared" si="0"/>
        <v>-108</v>
      </c>
      <c r="C58" s="478">
        <f>IFERROR(INDEX('P&amp;L SR 2'!A:ZZ, MATCH(D58, 'P&amp;L SR 2'!B:B, 0), MATCH("TOTAL", 'P&amp;L SR 2'!$5:$5, 0)), 0)</f>
        <v>0</v>
      </c>
      <c r="D58" s="727" t="s">
        <v>512</v>
      </c>
      <c r="E58" s="729">
        <f>-108</f>
        <v>-108</v>
      </c>
    </row>
    <row r="59" spans="1:5">
      <c r="A59" s="478" t="e" cm="1">
        <f t="array" ref="A59">INDEX('Master Mapping'!O:O, MATCH(TRUE, EXACT(TEXT(LEFT(TRIM(D59), 7), "@"), 'Master Mapping'!A:A), 0))</f>
        <v>#N/A</v>
      </c>
      <c r="B59" s="478">
        <f t="shared" si="0"/>
        <v>222591.55</v>
      </c>
      <c r="C59" s="478">
        <f>IFERROR(INDEX('P&amp;L SR 2'!A:ZZ, MATCH(D59, 'P&amp;L SR 2'!B:B, 0), MATCH("TOTAL", 'P&amp;L SR 2'!$5:$5, 0)), 0)</f>
        <v>0</v>
      </c>
      <c r="D59" s="727" t="s">
        <v>515</v>
      </c>
      <c r="E59" s="730">
        <f>(((((((E49)+(E50))+(E51))+(E52))+(E55))+(E56))+(E57))+(E58)</f>
        <v>222591.55</v>
      </c>
    </row>
    <row r="60" spans="1:5">
      <c r="A60" s="478" t="e" cm="1">
        <f t="array" ref="A60">INDEX('Master Mapping'!O:O, MATCH(TRUE, EXACT(TEXT(LEFT(TRIM(D60), 7), "@"), 'Master Mapping'!A:A), 0))</f>
        <v>#N/A</v>
      </c>
      <c r="B60" s="478">
        <f t="shared" si="0"/>
        <v>0</v>
      </c>
      <c r="C60" s="478">
        <f>IFERROR(INDEX('P&amp;L SR 2'!A:ZZ, MATCH(D60, 'P&amp;L SR 2'!B:B, 0), MATCH("TOTAL", 'P&amp;L SR 2'!$5:$5, 0)), 0)</f>
        <v>0</v>
      </c>
      <c r="D60" s="727" t="s">
        <v>516</v>
      </c>
      <c r="E60" s="728"/>
    </row>
    <row r="61" spans="1:5">
      <c r="A61" s="478" cm="1">
        <f t="array" ref="A61">INDEX('Master Mapping'!O:O, MATCH(TRUE, EXACT(TEXT(LEFT(TRIM(D61), 7), "@"), 'Master Mapping'!A:A), 0))</f>
        <v>7</v>
      </c>
      <c r="B61" s="478">
        <f t="shared" si="0"/>
        <v>7840</v>
      </c>
      <c r="C61" s="478">
        <f>IFERROR(INDEX('P&amp;L SR 2'!A:ZZ, MATCH(D61, 'P&amp;L SR 2'!B:B, 0), MATCH("TOTAL", 'P&amp;L SR 2'!$5:$5, 0)), 0)</f>
        <v>0</v>
      </c>
      <c r="D61" s="727" t="s">
        <v>4299</v>
      </c>
      <c r="E61" s="729">
        <f>7840</f>
        <v>7840</v>
      </c>
    </row>
    <row r="62" spans="1:5">
      <c r="A62" s="478" cm="1">
        <f t="array" ref="A62">INDEX('Master Mapping'!O:O, MATCH(TRUE, EXACT(TEXT(LEFT(TRIM(D62), 7), "@"), 'Master Mapping'!A:A), 0))</f>
        <v>8</v>
      </c>
      <c r="B62" s="478">
        <f t="shared" si="0"/>
        <v>14850</v>
      </c>
      <c r="C62" s="478">
        <f>IFERROR(INDEX('P&amp;L SR 2'!A:ZZ, MATCH(D62, 'P&amp;L SR 2'!B:B, 0), MATCH("TOTAL", 'P&amp;L SR 2'!$5:$5, 0)), 0)</f>
        <v>0</v>
      </c>
      <c r="D62" s="727" t="s">
        <v>517</v>
      </c>
      <c r="E62" s="729">
        <f>14850</f>
        <v>14850</v>
      </c>
    </row>
    <row r="63" spans="1:5">
      <c r="A63" s="478" cm="1">
        <f t="array" ref="A63">INDEX('Master Mapping'!O:O, MATCH(TRUE, EXACT(TEXT(LEFT(TRIM(D63), 7), "@"), 'Master Mapping'!A:A), 0))</f>
        <v>13</v>
      </c>
      <c r="B63" s="478">
        <f t="shared" si="0"/>
        <v>20.8</v>
      </c>
      <c r="C63" s="478">
        <f>IFERROR(INDEX('P&amp;L SR 2'!A:ZZ, MATCH(D63, 'P&amp;L SR 2'!B:B, 0), MATCH("TOTAL", 'P&amp;L SR 2'!$5:$5, 0)), 0)</f>
        <v>0</v>
      </c>
      <c r="D63" s="727" t="s">
        <v>4300</v>
      </c>
      <c r="E63" s="729">
        <f>20.8</f>
        <v>20.8</v>
      </c>
    </row>
    <row r="64" spans="1:5">
      <c r="A64" s="478" cm="1">
        <f t="array" ref="A64">INDEX('Master Mapping'!O:O, MATCH(TRUE, EXACT(TEXT(LEFT(TRIM(D64), 7), "@"), 'Master Mapping'!A:A), 0))</f>
        <v>13</v>
      </c>
      <c r="B64" s="478">
        <f t="shared" si="0"/>
        <v>20085</v>
      </c>
      <c r="C64" s="478">
        <f>IFERROR(INDEX('P&amp;L SR 2'!A:ZZ, MATCH(D64, 'P&amp;L SR 2'!B:B, 0), MATCH("TOTAL", 'P&amp;L SR 2'!$5:$5, 0)), 0)</f>
        <v>0</v>
      </c>
      <c r="D64" s="727" t="s">
        <v>518</v>
      </c>
      <c r="E64" s="729">
        <f>20085</f>
        <v>20085</v>
      </c>
    </row>
    <row r="65" spans="1:5">
      <c r="A65" s="478" cm="1">
        <f t="array" ref="A65">INDEX('Master Mapping'!O:O, MATCH(TRUE, EXACT(TEXT(LEFT(TRIM(D65), 7), "@"), 'Master Mapping'!A:A), 0))</f>
        <v>13</v>
      </c>
      <c r="B65" s="478">
        <f t="shared" si="0"/>
        <v>0</v>
      </c>
      <c r="C65" s="478">
        <f>IFERROR(INDEX('P&amp;L SR 2'!A:ZZ, MATCH(D65, 'P&amp;L SR 2'!B:B, 0), MATCH("TOTAL", 'P&amp;L SR 2'!$5:$5, 0)), 0)</f>
        <v>0</v>
      </c>
      <c r="D65" s="727" t="s">
        <v>4367</v>
      </c>
      <c r="E65" s="728"/>
    </row>
    <row r="66" spans="1:5">
      <c r="A66" s="478" cm="1">
        <f t="array" ref="A66">INDEX('Master Mapping'!O:O, MATCH(TRUE, EXACT(TEXT(LEFT(TRIM(D66), 7), "@"), 'Master Mapping'!A:A), 0))</f>
        <v>13</v>
      </c>
      <c r="B66" s="478">
        <f t="shared" si="0"/>
        <v>25415</v>
      </c>
      <c r="C66" s="478">
        <f>IFERROR(INDEX('P&amp;L SR 2'!A:ZZ, MATCH(D66, 'P&amp;L SR 2'!B:B, 0), MATCH("TOTAL", 'P&amp;L SR 2'!$5:$5, 0)), 0)</f>
        <v>0</v>
      </c>
      <c r="D66" s="727" t="s">
        <v>735</v>
      </c>
      <c r="E66" s="729">
        <f>25415</f>
        <v>25415</v>
      </c>
    </row>
    <row r="67" spans="1:5">
      <c r="A67" s="478" cm="1">
        <f t="array" ref="A67">INDEX('Master Mapping'!O:O, MATCH(TRUE, EXACT(TEXT(LEFT(TRIM(D67), 7), "@"), 'Master Mapping'!A:A), 0))</f>
        <v>14</v>
      </c>
      <c r="B67" s="478">
        <f t="shared" si="0"/>
        <v>6061.52</v>
      </c>
      <c r="C67" s="478">
        <f>IFERROR(INDEX('P&amp;L SR 2'!A:ZZ, MATCH(D67, 'P&amp;L SR 2'!B:B, 0), MATCH("TOTAL", 'P&amp;L SR 2'!$5:$5, 0)), 0)</f>
        <v>0</v>
      </c>
      <c r="D67" s="727" t="s">
        <v>519</v>
      </c>
      <c r="E67" s="729">
        <f>6061.52</f>
        <v>6061.52</v>
      </c>
    </row>
    <row r="68" spans="1:5">
      <c r="A68" s="478" cm="1">
        <f t="array" ref="A68">INDEX('Master Mapping'!O:O, MATCH(TRUE, EXACT(TEXT(LEFT(TRIM(D68), 7), "@"), 'Master Mapping'!A:A), 0))</f>
        <v>14</v>
      </c>
      <c r="B68" s="478">
        <f t="shared" si="0"/>
        <v>7637.5</v>
      </c>
      <c r="C68" s="478">
        <f>IFERROR(INDEX('P&amp;L SR 2'!A:ZZ, MATCH(D68, 'P&amp;L SR 2'!B:B, 0), MATCH("TOTAL", 'P&amp;L SR 2'!$5:$5, 0)), 0)</f>
        <v>0</v>
      </c>
      <c r="D68" s="727" t="s">
        <v>520</v>
      </c>
      <c r="E68" s="729">
        <f>7637.5</f>
        <v>7637.5</v>
      </c>
    </row>
    <row r="69" spans="1:5">
      <c r="A69" s="478" cm="1">
        <f t="array" ref="A69">INDEX('Master Mapping'!O:O, MATCH(TRUE, EXACT(TEXT(LEFT(TRIM(D69), 7), "@"), 'Master Mapping'!A:A), 0))</f>
        <v>16</v>
      </c>
      <c r="B69" s="478">
        <f t="shared" si="0"/>
        <v>940</v>
      </c>
      <c r="C69" s="478">
        <f>IFERROR(INDEX('P&amp;L SR 2'!A:ZZ, MATCH(D69, 'P&amp;L SR 2'!B:B, 0), MATCH("TOTAL", 'P&amp;L SR 2'!$5:$5, 0)), 0)</f>
        <v>0</v>
      </c>
      <c r="D69" s="727" t="s">
        <v>521</v>
      </c>
      <c r="E69" s="729">
        <f>940</f>
        <v>940</v>
      </c>
    </row>
    <row r="70" spans="1:5">
      <c r="A70" s="478" cm="1">
        <f t="array" ref="A70">INDEX('Master Mapping'!O:O, MATCH(TRUE, EXACT(TEXT(LEFT(TRIM(D70), 7), "@"), 'Master Mapping'!A:A), 0))</f>
        <v>17</v>
      </c>
      <c r="B70" s="478">
        <f t="shared" si="0"/>
        <v>41126.019999999997</v>
      </c>
      <c r="C70" s="478">
        <f>IFERROR(INDEX('P&amp;L SR 2'!A:ZZ, MATCH(D70, 'P&amp;L SR 2'!B:B, 0), MATCH("TOTAL", 'P&amp;L SR 2'!$5:$5, 0)), 0)</f>
        <v>0</v>
      </c>
      <c r="D70" s="727" t="s">
        <v>522</v>
      </c>
      <c r="E70" s="729">
        <f>41126.02</f>
        <v>41126.019999999997</v>
      </c>
    </row>
    <row r="71" spans="1:5">
      <c r="A71" s="478" cm="1">
        <f t="array" ref="A71">INDEX('Master Mapping'!O:O, MATCH(TRUE, EXACT(TEXT(LEFT(TRIM(D71), 7), "@"), 'Master Mapping'!A:A), 0))</f>
        <v>18</v>
      </c>
      <c r="B71" s="478">
        <f t="shared" si="0"/>
        <v>5769</v>
      </c>
      <c r="C71" s="478">
        <f>IFERROR(INDEX('P&amp;L SR 2'!A:ZZ, MATCH(D71, 'P&amp;L SR 2'!B:B, 0), MATCH("TOTAL", 'P&amp;L SR 2'!$5:$5, 0)), 0)</f>
        <v>0</v>
      </c>
      <c r="D71" s="727" t="s">
        <v>523</v>
      </c>
      <c r="E71" s="729">
        <f>5769</f>
        <v>5769</v>
      </c>
    </row>
    <row r="72" spans="1:5">
      <c r="A72" s="478" cm="1">
        <f t="array" ref="A72">INDEX('Master Mapping'!O:O, MATCH(TRUE, EXACT(TEXT(LEFT(TRIM(D72), 7), "@"), 'Master Mapping'!A:A), 0))</f>
        <v>20</v>
      </c>
      <c r="B72" s="478">
        <f t="shared" si="0"/>
        <v>2105.65</v>
      </c>
      <c r="C72" s="478">
        <f>IFERROR(INDEX('P&amp;L SR 2'!A:ZZ, MATCH(D72, 'P&amp;L SR 2'!B:B, 0), MATCH("TOTAL", 'P&amp;L SR 2'!$5:$5, 0)), 0)</f>
        <v>0</v>
      </c>
      <c r="D72" s="727" t="s">
        <v>524</v>
      </c>
      <c r="E72" s="729">
        <f>2105.65</f>
        <v>2105.65</v>
      </c>
    </row>
    <row r="73" spans="1:5">
      <c r="A73" s="478" cm="1">
        <f t="array" ref="A73">INDEX('Master Mapping'!O:O, MATCH(TRUE, EXACT(TEXT(LEFT(TRIM(D73), 7), "@"), 'Master Mapping'!A:A), 0))</f>
        <v>15</v>
      </c>
      <c r="B73" s="478">
        <f t="shared" ref="B73:B123" si="1">E73-C73</f>
        <v>4012.45</v>
      </c>
      <c r="C73" s="478">
        <f>IFERROR(INDEX('P&amp;L SR 2'!A:ZZ, MATCH(D73, 'P&amp;L SR 2'!B:B, 0), MATCH("TOTAL", 'P&amp;L SR 2'!$5:$5, 0)), 0)</f>
        <v>0</v>
      </c>
      <c r="D73" s="727" t="s">
        <v>525</v>
      </c>
      <c r="E73" s="729">
        <f>4012.45</f>
        <v>4012.45</v>
      </c>
    </row>
    <row r="74" spans="1:5">
      <c r="A74" s="478" cm="1">
        <f t="array" ref="A74">INDEX('Master Mapping'!O:O, MATCH(TRUE, EXACT(TEXT(LEFT(TRIM(D74), 7), "@"), 'Master Mapping'!A:A), 0))</f>
        <v>15</v>
      </c>
      <c r="B74" s="478">
        <f t="shared" si="1"/>
        <v>40537.5</v>
      </c>
      <c r="C74" s="478">
        <f>IFERROR(INDEX('P&amp;L SR 2'!A:ZZ, MATCH(D74, 'P&amp;L SR 2'!B:B, 0), MATCH("TOTAL", 'P&amp;L SR 2'!$5:$5, 0)), 0)</f>
        <v>0</v>
      </c>
      <c r="D74" s="727" t="s">
        <v>526</v>
      </c>
      <c r="E74" s="729">
        <f>40537.5</f>
        <v>40537.5</v>
      </c>
    </row>
    <row r="75" spans="1:5">
      <c r="A75" s="478" cm="1">
        <f t="array" ref="A75">INDEX('Master Mapping'!O:O, MATCH(TRUE, EXACT(TEXT(LEFT(TRIM(D75), 7), "@"), 'Master Mapping'!A:A), 0))</f>
        <v>20</v>
      </c>
      <c r="B75" s="478">
        <f t="shared" si="1"/>
        <v>262.24</v>
      </c>
      <c r="C75" s="478">
        <f>IFERROR(INDEX('P&amp;L SR 2'!A:ZZ, MATCH(D75, 'P&amp;L SR 2'!B:B, 0), MATCH("TOTAL", 'P&amp;L SR 2'!$5:$5, 0)), 0)</f>
        <v>0</v>
      </c>
      <c r="D75" s="727" t="s">
        <v>527</v>
      </c>
      <c r="E75" s="729">
        <f>262.24</f>
        <v>262.24</v>
      </c>
    </row>
    <row r="76" spans="1:5">
      <c r="A76" s="478" cm="1">
        <f t="array" ref="A76">INDEX('Master Mapping'!O:O, MATCH(TRUE, EXACT(TEXT(LEFT(TRIM(D76), 7), "@"), 'Master Mapping'!A:A), 0))</f>
        <v>17</v>
      </c>
      <c r="B76" s="478">
        <f t="shared" si="1"/>
        <v>6440.96</v>
      </c>
      <c r="C76" s="478">
        <f>IFERROR(INDEX('P&amp;L SR 2'!A:ZZ, MATCH(D76, 'P&amp;L SR 2'!B:B, 0), MATCH("TOTAL", 'P&amp;L SR 2'!$5:$5, 0)), 0)</f>
        <v>0</v>
      </c>
      <c r="D76" s="727" t="s">
        <v>528</v>
      </c>
      <c r="E76" s="729">
        <f>6440.96</f>
        <v>6440.96</v>
      </c>
    </row>
    <row r="77" spans="1:5">
      <c r="A77" s="478" cm="1">
        <f t="array" ref="A77">INDEX('Master Mapping'!O:O, MATCH(TRUE, EXACT(TEXT(LEFT(TRIM(D77), 7), "@"), 'Master Mapping'!A:A), 0))</f>
        <v>20</v>
      </c>
      <c r="B77" s="478">
        <f t="shared" si="1"/>
        <v>110696.96000000001</v>
      </c>
      <c r="C77" s="478">
        <f>IFERROR(INDEX('P&amp;L SR 2'!A:ZZ, MATCH(D77, 'P&amp;L SR 2'!B:B, 0), MATCH("TOTAL", 'P&amp;L SR 2'!$5:$5, 0)), 0)</f>
        <v>0</v>
      </c>
      <c r="D77" s="727" t="s">
        <v>529</v>
      </c>
      <c r="E77" s="729">
        <f>110696.96</f>
        <v>110696.96000000001</v>
      </c>
    </row>
    <row r="78" spans="1:5">
      <c r="A78" s="478" t="e" cm="1">
        <f t="array" ref="A78">INDEX('Master Mapping'!O:O, MATCH(TRUE, EXACT(TEXT(LEFT(TRIM(D78), 7), "@"), 'Master Mapping'!A:A), 0))</f>
        <v>#N/A</v>
      </c>
      <c r="B78" s="478">
        <f t="shared" si="1"/>
        <v>293800.59999999998</v>
      </c>
      <c r="C78" s="478">
        <f>IFERROR(INDEX('P&amp;L SR 2'!A:ZZ, MATCH(D78, 'P&amp;L SR 2'!B:B, 0), MATCH("TOTAL", 'P&amp;L SR 2'!$5:$5, 0)), 0)</f>
        <v>0</v>
      </c>
      <c r="D78" s="727" t="s">
        <v>530</v>
      </c>
      <c r="E78" s="730">
        <f>(((((((((((((((((E60)+(E61))+(E62))+(E63))+(E64))+(E65))+(E66))+(E67))+(E68))+(E69))+(E70))+(E71))+(E72))+(E73))+(E74))+(E75))+(E76))+(E77)</f>
        <v>293800.59999999998</v>
      </c>
    </row>
    <row r="79" spans="1:5">
      <c r="A79" s="478" t="e" cm="1">
        <f t="array" ref="A79">INDEX('Master Mapping'!O:O, MATCH(TRUE, EXACT(TEXT(LEFT(TRIM(D79), 7), "@"), 'Master Mapping'!A:A), 0))</f>
        <v>#N/A</v>
      </c>
      <c r="B79" s="478">
        <f t="shared" si="1"/>
        <v>0</v>
      </c>
      <c r="C79" s="478">
        <f>IFERROR(INDEX('P&amp;L SR 2'!A:ZZ, MATCH(D79, 'P&amp;L SR 2'!B:B, 0), MATCH("TOTAL", 'P&amp;L SR 2'!$5:$5, 0)), 0)</f>
        <v>0</v>
      </c>
      <c r="D79" s="727" t="s">
        <v>531</v>
      </c>
      <c r="E79" s="728"/>
    </row>
    <row r="80" spans="1:5">
      <c r="A80" s="478" cm="1">
        <f t="array" ref="A80">INDEX('Master Mapping'!O:O, MATCH(TRUE, EXACT(TEXT(LEFT(TRIM(D80), 7), "@"), 'Master Mapping'!A:A), 0))</f>
        <v>15</v>
      </c>
      <c r="B80" s="478">
        <f t="shared" si="1"/>
        <v>21409.919999999998</v>
      </c>
      <c r="C80" s="478">
        <f>IFERROR(INDEX('P&amp;L SR 2'!A:ZZ, MATCH(D80, 'P&amp;L SR 2'!B:B, 0), MATCH("TOTAL", 'P&amp;L SR 2'!$5:$5, 0)), 0)</f>
        <v>0</v>
      </c>
      <c r="D80" s="727" t="s">
        <v>532</v>
      </c>
      <c r="E80" s="729">
        <f>21409.92</f>
        <v>21409.919999999998</v>
      </c>
    </row>
    <row r="81" spans="1:5">
      <c r="A81" s="478" cm="1">
        <f t="array" ref="A81">INDEX('Master Mapping'!O:O, MATCH(TRUE, EXACT(TEXT(LEFT(TRIM(D81), 7), "@"), 'Master Mapping'!A:A), 0))</f>
        <v>18</v>
      </c>
      <c r="B81" s="478">
        <f t="shared" si="1"/>
        <v>12948.1</v>
      </c>
      <c r="C81" s="478">
        <f>IFERROR(INDEX('P&amp;L SR 2'!A:ZZ, MATCH(D81, 'P&amp;L SR 2'!B:B, 0), MATCH("TOTAL", 'P&amp;L SR 2'!$5:$5, 0)), 0)</f>
        <v>0</v>
      </c>
      <c r="D81" s="727" t="s">
        <v>533</v>
      </c>
      <c r="E81" s="729">
        <f>12948.1</f>
        <v>12948.1</v>
      </c>
    </row>
    <row r="82" spans="1:5">
      <c r="A82" s="478" cm="1">
        <f t="array" ref="A82">INDEX('Master Mapping'!O:O, MATCH(TRUE, EXACT(TEXT(LEFT(TRIM(D82), 7), "@"), 'Master Mapping'!A:A), 0))</f>
        <v>18</v>
      </c>
      <c r="B82" s="478">
        <f t="shared" si="1"/>
        <v>3404.76</v>
      </c>
      <c r="C82" s="478">
        <f>IFERROR(INDEX('P&amp;L SR 2'!A:ZZ, MATCH(D82, 'P&amp;L SR 2'!B:B, 0), MATCH("TOTAL", 'P&amp;L SR 2'!$5:$5, 0)), 0)</f>
        <v>0</v>
      </c>
      <c r="D82" s="727" t="s">
        <v>534</v>
      </c>
      <c r="E82" s="729">
        <f>3404.76</f>
        <v>3404.76</v>
      </c>
    </row>
    <row r="83" spans="1:5">
      <c r="A83" s="478" cm="1">
        <f t="array" ref="A83">INDEX('Master Mapping'!O:O, MATCH(TRUE, EXACT(TEXT(LEFT(TRIM(D83), 7), "@"), 'Master Mapping'!A:A), 0))</f>
        <v>18</v>
      </c>
      <c r="B83" s="478">
        <f t="shared" si="1"/>
        <v>2244.14</v>
      </c>
      <c r="C83" s="478">
        <f>IFERROR(INDEX('P&amp;L SR 2'!A:ZZ, MATCH(D83, 'P&amp;L SR 2'!B:B, 0), MATCH("TOTAL", 'P&amp;L SR 2'!$5:$5, 0)), 0)</f>
        <v>0</v>
      </c>
      <c r="D83" s="727" t="s">
        <v>535</v>
      </c>
      <c r="E83" s="729">
        <f>2244.14</f>
        <v>2244.14</v>
      </c>
    </row>
    <row r="84" spans="1:5">
      <c r="A84" s="478" cm="1">
        <f t="array" ref="A84">INDEX('Master Mapping'!O:O, MATCH(TRUE, EXACT(TEXT(LEFT(TRIM(D84), 7), "@"), 'Master Mapping'!A:A), 0))</f>
        <v>18</v>
      </c>
      <c r="B84" s="478">
        <f t="shared" si="1"/>
        <v>0</v>
      </c>
      <c r="C84" s="478">
        <f>IFERROR(INDEX('P&amp;L SR 2'!A:ZZ, MATCH(D84, 'P&amp;L SR 2'!B:B, 0), MATCH("TOTAL", 'P&amp;L SR 2'!$5:$5, 0)), 0)</f>
        <v>0</v>
      </c>
      <c r="D84" s="727" t="s">
        <v>536</v>
      </c>
      <c r="E84" s="728"/>
    </row>
    <row r="85" spans="1:5">
      <c r="A85" s="478" cm="1">
        <f t="array" ref="A85">INDEX('Master Mapping'!O:O, MATCH(TRUE, EXACT(TEXT(LEFT(TRIM(D85), 7), "@"), 'Master Mapping'!A:A), 0))</f>
        <v>18</v>
      </c>
      <c r="B85" s="478">
        <f t="shared" si="1"/>
        <v>10975</v>
      </c>
      <c r="C85" s="478">
        <f>IFERROR(INDEX('P&amp;L SR 2'!A:ZZ, MATCH(D85, 'P&amp;L SR 2'!B:B, 0), MATCH("TOTAL", 'P&amp;L SR 2'!$5:$5, 0)), 0)</f>
        <v>0</v>
      </c>
      <c r="D85" s="727" t="s">
        <v>537</v>
      </c>
      <c r="E85" s="729">
        <f>10975</f>
        <v>10975</v>
      </c>
    </row>
    <row r="86" spans="1:5">
      <c r="A86" s="478" cm="1">
        <f t="array" ref="A86">INDEX('Master Mapping'!O:O, MATCH(TRUE, EXACT(TEXT(LEFT(TRIM(D86), 7), "@"), 'Master Mapping'!A:A), 0))</f>
        <v>18</v>
      </c>
      <c r="B86" s="478">
        <f t="shared" si="1"/>
        <v>12581.38</v>
      </c>
      <c r="C86" s="478">
        <f>IFERROR(INDEX('P&amp;L SR 2'!A:ZZ, MATCH(D86, 'P&amp;L SR 2'!B:B, 0), MATCH("TOTAL", 'P&amp;L SR 2'!$5:$5, 0)), 0)</f>
        <v>0</v>
      </c>
      <c r="D86" s="727" t="s">
        <v>538</v>
      </c>
      <c r="E86" s="729">
        <f>12581.38</f>
        <v>12581.38</v>
      </c>
    </row>
    <row r="87" spans="1:5">
      <c r="A87" s="478" cm="1">
        <f t="array" ref="A87">INDEX('Master Mapping'!O:O, MATCH(TRUE, EXACT(TEXT(LEFT(TRIM(D87), 7), "@"), 'Master Mapping'!A:A), 0))</f>
        <v>21</v>
      </c>
      <c r="B87" s="478">
        <f t="shared" si="1"/>
        <v>3370.76</v>
      </c>
      <c r="C87" s="478">
        <f>IFERROR(INDEX('P&amp;L SR 2'!A:ZZ, MATCH(D87, 'P&amp;L SR 2'!B:B, 0), MATCH("TOTAL", 'P&amp;L SR 2'!$5:$5, 0)), 0)</f>
        <v>277.58</v>
      </c>
      <c r="D87" s="727" t="s">
        <v>539</v>
      </c>
      <c r="E87" s="729">
        <f>3648.34</f>
        <v>3648.34</v>
      </c>
    </row>
    <row r="88" spans="1:5">
      <c r="A88" s="478" cm="1">
        <f t="array" ref="A88">INDEX('Master Mapping'!O:O, MATCH(TRUE, EXACT(TEXT(LEFT(TRIM(D88), 7), "@"), 'Master Mapping'!A:A), 0))</f>
        <v>16</v>
      </c>
      <c r="B88" s="478">
        <f t="shared" si="1"/>
        <v>8273.2099999999991</v>
      </c>
      <c r="C88" s="478">
        <f>IFERROR(INDEX('P&amp;L SR 2'!A:ZZ, MATCH(D88, 'P&amp;L SR 2'!B:B, 0), MATCH("TOTAL", 'P&amp;L SR 2'!$5:$5, 0)), 0)</f>
        <v>0</v>
      </c>
      <c r="D88" s="727" t="s">
        <v>279</v>
      </c>
      <c r="E88" s="729">
        <f>8273.21</f>
        <v>8273.2099999999991</v>
      </c>
    </row>
    <row r="89" spans="1:5">
      <c r="A89" s="478" t="e" cm="1">
        <f t="array" ref="A89">INDEX('Master Mapping'!O:O, MATCH(TRUE, EXACT(TEXT(LEFT(TRIM(D89), 7), "@"), 'Master Mapping'!A:A), 0))</f>
        <v>#N/A</v>
      </c>
      <c r="B89" s="478">
        <f t="shared" si="1"/>
        <v>75207.27</v>
      </c>
      <c r="C89" s="478">
        <f>IFERROR(INDEX('P&amp;L SR 2'!A:ZZ, MATCH(D89, 'P&amp;L SR 2'!B:B, 0), MATCH("TOTAL", 'P&amp;L SR 2'!$5:$5, 0)), 0)</f>
        <v>277.58</v>
      </c>
      <c r="D89" s="727" t="s">
        <v>541</v>
      </c>
      <c r="E89" s="730">
        <f>(((((((((E79)+(E80))+(E81))+(E82))+(E83))+(E84))+(E85))+(E86))+(E87))+(E88)</f>
        <v>75484.850000000006</v>
      </c>
    </row>
    <row r="90" spans="1:5">
      <c r="A90" s="478" cm="1">
        <f t="array" ref="A90">INDEX('Master Mapping'!O:O, MATCH(TRUE, EXACT(TEXT(LEFT(TRIM(D90), 7), "@"), 'Master Mapping'!A:A), 0))</f>
        <v>0</v>
      </c>
      <c r="B90" s="478">
        <f t="shared" si="1"/>
        <v>0</v>
      </c>
      <c r="C90" s="478">
        <f>IFERROR(INDEX('P&amp;L SR 2'!A:ZZ, MATCH(D90, 'P&amp;L SR 2'!B:B, 0), MATCH("TOTAL", 'P&amp;L SR 2'!$5:$5, 0)), 0)</f>
        <v>0</v>
      </c>
      <c r="D90" s="727" t="s">
        <v>4368</v>
      </c>
      <c r="E90" s="729"/>
    </row>
    <row r="91" spans="1:5">
      <c r="A91" s="478" t="e" cm="1">
        <f t="array" ref="A91">INDEX('Master Mapping'!O:O, MATCH(TRUE, EXACT(TEXT(LEFT(TRIM(D91), 7), "@"), 'Master Mapping'!A:A), 0))</f>
        <v>#N/A</v>
      </c>
      <c r="B91" s="478">
        <f t="shared" si="1"/>
        <v>0</v>
      </c>
      <c r="C91" s="478">
        <f>IFERROR(INDEX('P&amp;L SR 2'!A:ZZ, MATCH(D91, 'P&amp;L SR 2'!B:B, 0), MATCH("TOTAL", 'P&amp;L SR 2'!$5:$5, 0)), 0)</f>
        <v>0</v>
      </c>
      <c r="D91" s="727" t="s">
        <v>542</v>
      </c>
      <c r="E91" s="728"/>
    </row>
    <row r="92" spans="1:5">
      <c r="A92" s="478" cm="1">
        <f t="array" ref="A92">INDEX('Master Mapping'!O:O, MATCH(TRUE, EXACT(TEXT(LEFT(TRIM(D92), 7), "@"), 'Master Mapping'!A:A), 0))</f>
        <v>7</v>
      </c>
      <c r="B92" s="478">
        <f t="shared" si="1"/>
        <v>11689</v>
      </c>
      <c r="C92" s="478">
        <f>IFERROR(INDEX('P&amp;L SR 2'!A:ZZ, MATCH(D92, 'P&amp;L SR 2'!B:B, 0), MATCH("TOTAL", 'P&amp;L SR 2'!$5:$5, 0)), 0)</f>
        <v>0</v>
      </c>
      <c r="D92" s="727" t="s">
        <v>4301</v>
      </c>
      <c r="E92" s="729">
        <f>11689</f>
        <v>11689</v>
      </c>
    </row>
    <row r="93" spans="1:5">
      <c r="A93" s="478" cm="1">
        <f t="array" ref="A93">INDEX('Master Mapping'!O:O, MATCH(TRUE, EXACT(TEXT(LEFT(TRIM(D93), 7), "@"), 'Master Mapping'!A:A), 0))</f>
        <v>10</v>
      </c>
      <c r="B93" s="478">
        <f t="shared" si="1"/>
        <v>620.25</v>
      </c>
      <c r="C93" s="478">
        <f>IFERROR(INDEX('P&amp;L SR 2'!A:ZZ, MATCH(D93, 'P&amp;L SR 2'!B:B, 0), MATCH("TOTAL", 'P&amp;L SR 2'!$5:$5, 0)), 0)</f>
        <v>0</v>
      </c>
      <c r="D93" s="727" t="s">
        <v>4369</v>
      </c>
      <c r="E93" s="729">
        <f>620.25</f>
        <v>620.25</v>
      </c>
    </row>
    <row r="94" spans="1:5">
      <c r="A94" s="478" cm="1">
        <f t="array" ref="A94">INDEX('Master Mapping'!O:O, MATCH(TRUE, EXACT(TEXT(LEFT(TRIM(D94), 7), "@"), 'Master Mapping'!A:A), 0))</f>
        <v>19</v>
      </c>
      <c r="B94" s="478">
        <f t="shared" si="1"/>
        <v>169685.45</v>
      </c>
      <c r="C94" s="478">
        <f>IFERROR(INDEX('P&amp;L SR 2'!A:ZZ, MATCH(D94, 'P&amp;L SR 2'!B:B, 0), MATCH("TOTAL", 'P&amp;L SR 2'!$5:$5, 0)), 0)</f>
        <v>0</v>
      </c>
      <c r="D94" s="727" t="s">
        <v>543</v>
      </c>
      <c r="E94" s="729">
        <f>169685.45</f>
        <v>169685.45</v>
      </c>
    </row>
    <row r="95" spans="1:5">
      <c r="A95" s="478" cm="1">
        <f t="array" ref="A95">INDEX('Master Mapping'!O:O, MATCH(TRUE, EXACT(TEXT(LEFT(TRIM(D95), 7), "@"), 'Master Mapping'!A:A), 0))</f>
        <v>15</v>
      </c>
      <c r="B95" s="478">
        <f t="shared" si="1"/>
        <v>-916.46</v>
      </c>
      <c r="C95" s="478">
        <f>IFERROR(INDEX('P&amp;L SR 2'!A:ZZ, MATCH(D95, 'P&amp;L SR 2'!B:B, 0), MATCH("TOTAL", 'P&amp;L SR 2'!$5:$5, 0)), 0)</f>
        <v>0</v>
      </c>
      <c r="D95" s="727" t="s">
        <v>544</v>
      </c>
      <c r="E95" s="729">
        <f>-916.46</f>
        <v>-916.46</v>
      </c>
    </row>
    <row r="96" spans="1:5">
      <c r="A96" s="478" cm="1">
        <f t="array" ref="A96">INDEX('Master Mapping'!O:O, MATCH(TRUE, EXACT(TEXT(LEFT(TRIM(D96), 7), "@"), 'Master Mapping'!A:A), 0))</f>
        <v>18</v>
      </c>
      <c r="B96" s="478">
        <f t="shared" si="1"/>
        <v>0</v>
      </c>
      <c r="C96" s="478">
        <f>IFERROR(INDEX('P&amp;L SR 2'!A:ZZ, MATCH(D96, 'P&amp;L SR 2'!B:B, 0), MATCH("TOTAL", 'P&amp;L SR 2'!$5:$5, 0)), 0)</f>
        <v>0</v>
      </c>
      <c r="D96" s="727" t="s">
        <v>280</v>
      </c>
      <c r="E96" s="728"/>
    </row>
    <row r="97" spans="1:5">
      <c r="A97" s="478" cm="1">
        <f t="array" ref="A97">INDEX('Master Mapping'!O:O, MATCH(TRUE, EXACT(TEXT(LEFT(TRIM(D97), 7), "@"), 'Master Mapping'!A:A), 0))</f>
        <v>16</v>
      </c>
      <c r="B97" s="478">
        <f t="shared" si="1"/>
        <v>7795.49</v>
      </c>
      <c r="C97" s="478">
        <f>IFERROR(INDEX('P&amp;L SR 2'!A:ZZ, MATCH(D97, 'P&amp;L SR 2'!B:B, 0), MATCH("TOTAL", 'P&amp;L SR 2'!$5:$5, 0)), 0)</f>
        <v>0</v>
      </c>
      <c r="D97" s="727" t="s">
        <v>546</v>
      </c>
      <c r="E97" s="729">
        <f>7795.49</f>
        <v>7795.49</v>
      </c>
    </row>
    <row r="98" spans="1:5">
      <c r="A98" s="478" cm="1">
        <f t="array" ref="A98">INDEX('Master Mapping'!O:O, MATCH(TRUE, EXACT(TEXT(LEFT(TRIM(D98), 7), "@"), 'Master Mapping'!A:A), 0))</f>
        <v>15</v>
      </c>
      <c r="B98" s="478">
        <f t="shared" si="1"/>
        <v>7336.57</v>
      </c>
      <c r="C98" s="478">
        <f>IFERROR(INDEX('P&amp;L SR 2'!A:ZZ, MATCH(D98, 'P&amp;L SR 2'!B:B, 0), MATCH("TOTAL", 'P&amp;L SR 2'!$5:$5, 0)), 0)</f>
        <v>0</v>
      </c>
      <c r="D98" s="727" t="s">
        <v>273</v>
      </c>
      <c r="E98" s="729">
        <f>7336.57</f>
        <v>7336.57</v>
      </c>
    </row>
    <row r="99" spans="1:5">
      <c r="A99" s="478" cm="1">
        <f t="array" ref="A99">INDEX('Master Mapping'!O:O, MATCH(TRUE, EXACT(TEXT(LEFT(TRIM(D99), 7), "@"), 'Master Mapping'!A:A), 0))</f>
        <v>21</v>
      </c>
      <c r="B99" s="478">
        <f t="shared" si="1"/>
        <v>69339.680000000008</v>
      </c>
      <c r="C99" s="478">
        <f>IFERROR(INDEX('P&amp;L SR 2'!A:ZZ, MATCH(D99, 'P&amp;L SR 2'!B:B, 0), MATCH("TOTAL", 'P&amp;L SR 2'!$5:$5, 0)), 0)</f>
        <v>64778.92</v>
      </c>
      <c r="D99" s="727" t="s">
        <v>547</v>
      </c>
      <c r="E99" s="729">
        <f>134118.6</f>
        <v>134118.6</v>
      </c>
    </row>
    <row r="100" spans="1:5">
      <c r="A100" s="478" cm="1">
        <f t="array" ref="A100">INDEX('Master Mapping'!O:O, MATCH(TRUE, EXACT(TEXT(LEFT(TRIM(D100), 7), "@"), 'Master Mapping'!A:A), 0))</f>
        <v>7</v>
      </c>
      <c r="B100" s="478">
        <f t="shared" si="1"/>
        <v>475.24</v>
      </c>
      <c r="C100" s="478">
        <f>IFERROR(INDEX('P&amp;L SR 2'!A:ZZ, MATCH(D100, 'P&amp;L SR 2'!B:B, 0), MATCH("TOTAL", 'P&amp;L SR 2'!$5:$5, 0)), 0)</f>
        <v>0</v>
      </c>
      <c r="D100" s="727" t="s">
        <v>4370</v>
      </c>
      <c r="E100" s="729">
        <f>475.24</f>
        <v>475.24</v>
      </c>
    </row>
    <row r="101" spans="1:5">
      <c r="A101" s="478" cm="1">
        <f t="array" ref="A101">INDEX('Master Mapping'!O:O, MATCH(TRUE, EXACT(TEXT(LEFT(TRIM(D101), 7), "@"), 'Master Mapping'!A:A), 0))</f>
        <v>14</v>
      </c>
      <c r="B101" s="478">
        <f t="shared" si="1"/>
        <v>0</v>
      </c>
      <c r="C101" s="478">
        <f>IFERROR(INDEX('P&amp;L SR 2'!A:ZZ, MATCH(D101, 'P&amp;L SR 2'!B:B, 0), MATCH("TOTAL", 'P&amp;L SR 2'!$5:$5, 0)), 0)</f>
        <v>0</v>
      </c>
      <c r="D101" s="727" t="s">
        <v>4371</v>
      </c>
      <c r="E101" s="728"/>
    </row>
    <row r="102" spans="1:5">
      <c r="A102" s="478" cm="1">
        <f t="array" ref="A102">INDEX('Master Mapping'!O:O, MATCH(TRUE, EXACT(TEXT(LEFT(TRIM(D102), 7), "@"), 'Master Mapping'!A:A), 0))</f>
        <v>16</v>
      </c>
      <c r="B102" s="478">
        <f t="shared" si="1"/>
        <v>17.989999999999998</v>
      </c>
      <c r="C102" s="478">
        <f>IFERROR(INDEX('P&amp;L SR 2'!A:ZZ, MATCH(D102, 'P&amp;L SR 2'!B:B, 0), MATCH("TOTAL", 'P&amp;L SR 2'!$5:$5, 0)), 0)</f>
        <v>0</v>
      </c>
      <c r="D102" s="727" t="s">
        <v>548</v>
      </c>
      <c r="E102" s="729">
        <f>17.99</f>
        <v>17.989999999999998</v>
      </c>
    </row>
    <row r="103" spans="1:5">
      <c r="A103" s="478" t="e" cm="1">
        <f t="array" ref="A103">INDEX('Master Mapping'!O:O, MATCH(TRUE, EXACT(TEXT(LEFT(TRIM(D103), 7), "@"), 'Master Mapping'!A:A), 0))</f>
        <v>#N/A</v>
      </c>
      <c r="B103" s="478">
        <f t="shared" si="1"/>
        <v>266043.21000000002</v>
      </c>
      <c r="C103" s="478">
        <f>IFERROR(INDEX('P&amp;L SR 2'!A:ZZ, MATCH(D103, 'P&amp;L SR 2'!B:B, 0), MATCH("TOTAL", 'P&amp;L SR 2'!$5:$5, 0)), 0)</f>
        <v>64778.92</v>
      </c>
      <c r="D103" s="727" t="s">
        <v>549</v>
      </c>
      <c r="E103" s="730">
        <f>(((((((((((E91)+(E92))+(E93))+(E94))+(E95))+(E96))+(E97))+(E98))+(E99))+(E100))+(E101))+(E102)</f>
        <v>330822.13</v>
      </c>
    </row>
    <row r="104" spans="1:5">
      <c r="A104" s="478" t="e" cm="1">
        <f t="array" ref="A104">INDEX('Master Mapping'!O:O, MATCH(TRUE, EXACT(TEXT(LEFT(TRIM(D104), 7), "@"), 'Master Mapping'!A:A), 0))</f>
        <v>#N/A</v>
      </c>
      <c r="B104" s="478">
        <f t="shared" si="1"/>
        <v>0</v>
      </c>
      <c r="C104" s="478">
        <f>IFERROR(INDEX('P&amp;L SR 2'!A:ZZ, MATCH(D104, 'P&amp;L SR 2'!B:B, 0), MATCH("TOTAL", 'P&amp;L SR 2'!$5:$5, 0)), 0)</f>
        <v>0</v>
      </c>
      <c r="D104" s="727" t="s">
        <v>274</v>
      </c>
      <c r="E104" s="728"/>
    </row>
    <row r="105" spans="1:5">
      <c r="A105" s="478" cm="1">
        <f t="array" ref="A105">INDEX('Master Mapping'!O:O, MATCH(TRUE, EXACT(TEXT(LEFT(TRIM(D105), 7), "@"), 'Master Mapping'!A:A), 0))</f>
        <v>7</v>
      </c>
      <c r="B105" s="478">
        <f t="shared" si="1"/>
        <v>18565.27</v>
      </c>
      <c r="C105" s="478">
        <f>IFERROR(INDEX('P&amp;L SR 2'!A:ZZ, MATCH(D105, 'P&amp;L SR 2'!B:B, 0), MATCH("TOTAL", 'P&amp;L SR 2'!$5:$5, 0)), 0)</f>
        <v>0</v>
      </c>
      <c r="D105" s="727" t="s">
        <v>550</v>
      </c>
      <c r="E105" s="729">
        <f>18565.27</f>
        <v>18565.27</v>
      </c>
    </row>
    <row r="106" spans="1:5">
      <c r="A106" s="478" cm="1">
        <f t="array" ref="A106">INDEX('Master Mapping'!O:O, MATCH(TRUE, EXACT(TEXT(LEFT(TRIM(D106), 7), "@"), 'Master Mapping'!A:A), 0))</f>
        <v>8</v>
      </c>
      <c r="B106" s="478">
        <f t="shared" si="1"/>
        <v>93.9</v>
      </c>
      <c r="C106" s="478">
        <f>IFERROR(INDEX('P&amp;L SR 2'!A:ZZ, MATCH(D106, 'P&amp;L SR 2'!B:B, 0), MATCH("TOTAL", 'P&amp;L SR 2'!$5:$5, 0)), 0)</f>
        <v>0</v>
      </c>
      <c r="D106" s="727" t="s">
        <v>551</v>
      </c>
      <c r="E106" s="729">
        <f>93.9</f>
        <v>93.9</v>
      </c>
    </row>
    <row r="107" spans="1:5">
      <c r="A107" s="478" cm="1">
        <f t="array" ref="A107">INDEX('Master Mapping'!O:O, MATCH(TRUE, EXACT(TEXT(LEFT(TRIM(D107), 7), "@"), 'Master Mapping'!A:A), 0))</f>
        <v>14</v>
      </c>
      <c r="B107" s="478">
        <f t="shared" si="1"/>
        <v>4075.76</v>
      </c>
      <c r="C107" s="478">
        <f>IFERROR(INDEX('P&amp;L SR 2'!A:ZZ, MATCH(D107, 'P&amp;L SR 2'!B:B, 0), MATCH("TOTAL", 'P&amp;L SR 2'!$5:$5, 0)), 0)</f>
        <v>0</v>
      </c>
      <c r="D107" s="727" t="s">
        <v>552</v>
      </c>
      <c r="E107" s="729">
        <f>4075.76</f>
        <v>4075.76</v>
      </c>
    </row>
    <row r="108" spans="1:5">
      <c r="A108" s="478" cm="1">
        <f t="array" ref="A108">INDEX('Master Mapping'!O:O, MATCH(TRUE, EXACT(TEXT(LEFT(TRIM(D108), 7), "@"), 'Master Mapping'!A:A), 0))</f>
        <v>16</v>
      </c>
      <c r="B108" s="478">
        <f t="shared" si="1"/>
        <v>1428.89</v>
      </c>
      <c r="C108" s="478">
        <f>IFERROR(INDEX('P&amp;L SR 2'!A:ZZ, MATCH(D108, 'P&amp;L SR 2'!B:B, 0), MATCH("TOTAL", 'P&amp;L SR 2'!$5:$5, 0)), 0)</f>
        <v>0</v>
      </c>
      <c r="D108" s="727" t="s">
        <v>553</v>
      </c>
      <c r="E108" s="729">
        <f>1428.89</f>
        <v>1428.89</v>
      </c>
    </row>
    <row r="109" spans="1:5">
      <c r="A109" s="478" cm="1">
        <f t="array" ref="A109">INDEX('Master Mapping'!O:O, MATCH(TRUE, EXACT(TEXT(LEFT(TRIM(D109), 7), "@"), 'Master Mapping'!A:A), 0))</f>
        <v>18</v>
      </c>
      <c r="B109" s="478">
        <f t="shared" si="1"/>
        <v>7942.25</v>
      </c>
      <c r="C109" s="478">
        <f>IFERROR(INDEX('P&amp;L SR 2'!A:ZZ, MATCH(D109, 'P&amp;L SR 2'!B:B, 0), MATCH("TOTAL", 'P&amp;L SR 2'!$5:$5, 0)), 0)</f>
        <v>0</v>
      </c>
      <c r="D109" s="727" t="s">
        <v>554</v>
      </c>
      <c r="E109" s="729">
        <f>7942.25</f>
        <v>7942.25</v>
      </c>
    </row>
    <row r="110" spans="1:5">
      <c r="A110" s="478" cm="1">
        <f t="array" ref="A110">INDEX('Master Mapping'!O:O, MATCH(TRUE, EXACT(TEXT(LEFT(TRIM(D110), 7), "@"), 'Master Mapping'!A:A), 0))</f>
        <v>7</v>
      </c>
      <c r="B110" s="478">
        <f t="shared" si="1"/>
        <v>0</v>
      </c>
      <c r="C110" s="478">
        <f>IFERROR(INDEX('P&amp;L SR 2'!A:ZZ, MATCH(D110, 'P&amp;L SR 2'!B:B, 0), MATCH("TOTAL", 'P&amp;L SR 2'!$5:$5, 0)), 0)</f>
        <v>0</v>
      </c>
      <c r="D110" s="727" t="s">
        <v>555</v>
      </c>
      <c r="E110" s="728"/>
    </row>
    <row r="111" spans="1:5">
      <c r="A111" s="478" cm="1">
        <f t="array" ref="A111">INDEX('Master Mapping'!O:O, MATCH(TRUE, EXACT(TEXT(LEFT(TRIM(D111), 7), "@"), 'Master Mapping'!A:A), 0))</f>
        <v>14</v>
      </c>
      <c r="B111" s="478">
        <f t="shared" si="1"/>
        <v>-439.56</v>
      </c>
      <c r="C111" s="478">
        <f>IFERROR(INDEX('P&amp;L SR 2'!A:ZZ, MATCH(D111, 'P&amp;L SR 2'!B:B, 0), MATCH("TOTAL", 'P&amp;L SR 2'!$5:$5, 0)), 0)</f>
        <v>0</v>
      </c>
      <c r="D111" s="727" t="s">
        <v>736</v>
      </c>
      <c r="E111" s="729">
        <f>-439.56</f>
        <v>-439.56</v>
      </c>
    </row>
    <row r="112" spans="1:5">
      <c r="A112" s="478" cm="1">
        <f t="array" ref="A112">INDEX('Master Mapping'!O:O, MATCH(TRUE, EXACT(TEXT(LEFT(TRIM(D112), 7), "@"), 'Master Mapping'!A:A), 0))</f>
        <v>16</v>
      </c>
      <c r="B112" s="478">
        <f t="shared" si="1"/>
        <v>53.67</v>
      </c>
      <c r="C112" s="478">
        <f>IFERROR(INDEX('P&amp;L SR 2'!A:ZZ, MATCH(D112, 'P&amp;L SR 2'!B:B, 0), MATCH("TOTAL", 'P&amp;L SR 2'!$5:$5, 0)), 0)</f>
        <v>0</v>
      </c>
      <c r="D112" s="727" t="s">
        <v>556</v>
      </c>
      <c r="E112" s="729">
        <f>53.67</f>
        <v>53.67</v>
      </c>
    </row>
    <row r="113" spans="1:5">
      <c r="A113" s="478" cm="1">
        <f t="array" ref="A113">INDEX('Master Mapping'!O:O, MATCH(TRUE, EXACT(TEXT(LEFT(TRIM(D113), 7), "@"), 'Master Mapping'!A:A), 0))</f>
        <v>18</v>
      </c>
      <c r="B113" s="478">
        <f t="shared" si="1"/>
        <v>28047.55</v>
      </c>
      <c r="C113" s="478">
        <f>IFERROR(INDEX('P&amp;L SR 2'!A:ZZ, MATCH(D113, 'P&amp;L SR 2'!B:B, 0), MATCH("TOTAL", 'P&amp;L SR 2'!$5:$5, 0)), 0)</f>
        <v>0</v>
      </c>
      <c r="D113" s="727" t="s">
        <v>557</v>
      </c>
      <c r="E113" s="729">
        <f>28047.55</f>
        <v>28047.55</v>
      </c>
    </row>
    <row r="114" spans="1:5">
      <c r="A114" s="478" t="e" cm="1">
        <f t="array" ref="A114">INDEX('Master Mapping'!O:O, MATCH(TRUE, EXACT(TEXT(LEFT(TRIM(D114), 7), "@"), 'Master Mapping'!A:A), 0))</f>
        <v>#N/A</v>
      </c>
      <c r="B114" s="478">
        <f t="shared" si="1"/>
        <v>59767.729999999996</v>
      </c>
      <c r="C114" s="478">
        <f>IFERROR(INDEX('P&amp;L SR 2'!A:ZZ, MATCH(D114, 'P&amp;L SR 2'!B:B, 0), MATCH("TOTAL", 'P&amp;L SR 2'!$5:$5, 0)), 0)</f>
        <v>0</v>
      </c>
      <c r="D114" s="727" t="s">
        <v>275</v>
      </c>
      <c r="E114" s="730">
        <f>(((((((((E104)+(E105))+(E106))+(E107))+(E108))+(E109))+(E110))+(E111))+(E112))+(E113)</f>
        <v>59767.729999999996</v>
      </c>
    </row>
    <row r="115" spans="1:5">
      <c r="A115" s="478" t="e" cm="1">
        <f t="array" ref="A115">INDEX('Master Mapping'!O:O, MATCH(TRUE, EXACT(TEXT(LEFT(TRIM(D115), 7), "@"), 'Master Mapping'!A:A), 0))</f>
        <v>#N/A</v>
      </c>
      <c r="B115" s="478">
        <f t="shared" si="1"/>
        <v>0</v>
      </c>
      <c r="C115" s="478">
        <f>IFERROR(INDEX('P&amp;L SR 2'!A:ZZ, MATCH(D115, 'P&amp;L SR 2'!B:B, 0), MATCH("TOTAL", 'P&amp;L SR 2'!$5:$5, 0)), 0)</f>
        <v>0</v>
      </c>
      <c r="D115" s="727" t="s">
        <v>559</v>
      </c>
      <c r="E115" s="728"/>
    </row>
    <row r="116" spans="1:5">
      <c r="A116" s="478" cm="1">
        <f t="array" ref="A116">INDEX('Master Mapping'!O:O, MATCH(TRUE, EXACT(TEXT(LEFT(TRIM(D116), 7), "@"), 'Master Mapping'!A:A), 0))</f>
        <v>16</v>
      </c>
      <c r="B116" s="478">
        <f t="shared" si="1"/>
        <v>7.78</v>
      </c>
      <c r="C116" s="478">
        <f>IFERROR(INDEX('P&amp;L SR 2'!A:ZZ, MATCH(D116, 'P&amp;L SR 2'!B:B, 0), MATCH("TOTAL", 'P&amp;L SR 2'!$5:$5, 0)), 0)</f>
        <v>0</v>
      </c>
      <c r="D116" s="727" t="s">
        <v>561</v>
      </c>
      <c r="E116" s="729">
        <f>7.78</f>
        <v>7.78</v>
      </c>
    </row>
    <row r="117" spans="1:5">
      <c r="A117" s="478" t="e" cm="1">
        <f t="array" ref="A117">INDEX('Master Mapping'!O:O, MATCH(TRUE, EXACT(TEXT(LEFT(TRIM(D117), 7), "@"), 'Master Mapping'!A:A), 0))</f>
        <v>#N/A</v>
      </c>
      <c r="B117" s="478">
        <f t="shared" si="1"/>
        <v>7.78</v>
      </c>
      <c r="C117" s="478">
        <f>IFERROR(INDEX('P&amp;L SR 2'!A:ZZ, MATCH(D117, 'P&amp;L SR 2'!B:B, 0), MATCH("TOTAL", 'P&amp;L SR 2'!$5:$5, 0)), 0)</f>
        <v>0</v>
      </c>
      <c r="D117" s="727" t="s">
        <v>562</v>
      </c>
      <c r="E117" s="730">
        <f>(E115)+(E116)</f>
        <v>7.78</v>
      </c>
    </row>
    <row r="118" spans="1:5">
      <c r="A118" s="478" t="e" cm="1">
        <f t="array" ref="A118">INDEX('Master Mapping'!O:O, MATCH(TRUE, EXACT(TEXT(LEFT(TRIM(D118), 7), "@"), 'Master Mapping'!A:A), 0))</f>
        <v>#N/A</v>
      </c>
      <c r="B118" s="478">
        <f t="shared" si="1"/>
        <v>0</v>
      </c>
      <c r="C118" s="478">
        <f>IFERROR(INDEX('P&amp;L SR 2'!A:ZZ, MATCH(D118, 'P&amp;L SR 2'!B:B, 0), MATCH("TOTAL", 'P&amp;L SR 2'!$5:$5, 0)), 0)</f>
        <v>0</v>
      </c>
      <c r="D118" s="727" t="s">
        <v>563</v>
      </c>
      <c r="E118" s="728"/>
    </row>
    <row r="119" spans="1:5">
      <c r="A119" s="478" cm="1">
        <f t="array" ref="A119">INDEX('Master Mapping'!O:O, MATCH(TRUE, EXACT(TEXT(LEFT(TRIM(D119), 7), "@"), 'Master Mapping'!A:A), 0))</f>
        <v>26</v>
      </c>
      <c r="B119" s="478">
        <f t="shared" si="1"/>
        <v>-29970</v>
      </c>
      <c r="C119" s="478">
        <f>IFERROR(INDEX('P&amp;L SR 2'!A:ZZ, MATCH(D119, 'P&amp;L SR 2'!B:B, 0), MATCH("TOTAL", 'P&amp;L SR 2'!$5:$5, 0)), 0)</f>
        <v>29970</v>
      </c>
      <c r="D119" s="727" t="s">
        <v>564</v>
      </c>
      <c r="E119" s="729">
        <f>0</f>
        <v>0</v>
      </c>
    </row>
    <row r="120" spans="1:5">
      <c r="A120" s="478" t="e" cm="1">
        <f t="array" ref="A120">INDEX('Master Mapping'!O:O, MATCH(TRUE, EXACT(TEXT(LEFT(TRIM(D120), 7), "@"), 'Master Mapping'!A:A), 0))</f>
        <v>#N/A</v>
      </c>
      <c r="B120" s="478">
        <f t="shared" si="1"/>
        <v>-29970</v>
      </c>
      <c r="C120" s="478">
        <f>IFERROR(INDEX('P&amp;L SR 2'!A:ZZ, MATCH(D120, 'P&amp;L SR 2'!B:B, 0), MATCH("TOTAL", 'P&amp;L SR 2'!$5:$5, 0)), 0)</f>
        <v>29970</v>
      </c>
      <c r="D120" s="727" t="s">
        <v>565</v>
      </c>
      <c r="E120" s="730">
        <f>(E118)+(E119)</f>
        <v>0</v>
      </c>
    </row>
    <row r="121" spans="1:5">
      <c r="A121" s="478" t="e" cm="1">
        <f t="array" ref="A121">INDEX('Master Mapping'!O:O, MATCH(TRUE, EXACT(TEXT(LEFT(TRIM(D121), 7), "@"), 'Master Mapping'!A:A), 0))</f>
        <v>#N/A</v>
      </c>
      <c r="B121" s="478">
        <f t="shared" si="1"/>
        <v>1613424.12</v>
      </c>
      <c r="C121" s="478">
        <f>IFERROR(INDEX('P&amp;L SR 2'!A:ZZ, MATCH(D121, 'P&amp;L SR 2'!B:B, 0), MATCH("TOTAL", 'P&amp;L SR 2'!$5:$5, 0)), 0)</f>
        <v>440599.38</v>
      </c>
      <c r="D121" s="727" t="s">
        <v>566</v>
      </c>
      <c r="E121" s="730">
        <f>((((((((E48)+(E59))+(E78))+(E89))+(E90))+(E103))+(E114))+(E117))+(E120)</f>
        <v>2054023.5000000002</v>
      </c>
    </row>
    <row r="122" spans="1:5">
      <c r="A122" s="478" t="e" cm="1">
        <f t="array" ref="A122">INDEX('Master Mapping'!O:O, MATCH(TRUE, EXACT(TEXT(LEFT(TRIM(D122), 7), "@"), 'Master Mapping'!A:A), 0))</f>
        <v>#N/A</v>
      </c>
      <c r="B122" s="478">
        <f t="shared" si="1"/>
        <v>147130.41999999987</v>
      </c>
      <c r="C122" s="478">
        <f>IFERROR(INDEX('P&amp;L SR 2'!A:ZZ, MATCH(D122, 'P&amp;L SR 2'!B:B, 0), MATCH("TOTAL", 'P&amp;L SR 2'!$5:$5, 0)), 0)</f>
        <v>328889.40999999997</v>
      </c>
      <c r="D122" s="727" t="s">
        <v>567</v>
      </c>
      <c r="E122" s="730">
        <f>(E29)-(E121)</f>
        <v>476019.82999999984</v>
      </c>
    </row>
    <row r="123" spans="1:5">
      <c r="A123" s="478" t="e" cm="1">
        <f t="array" ref="A123">INDEX('Master Mapping'!O:O, MATCH(TRUE, EXACT(TEXT(LEFT(TRIM(D123), 7), "@"), 'Master Mapping'!A:A), 0))</f>
        <v>#N/A</v>
      </c>
      <c r="B123" s="478">
        <f t="shared" si="1"/>
        <v>147130.41999999987</v>
      </c>
      <c r="C123" s="478">
        <f>IFERROR(INDEX('P&amp;L SR 2'!A:ZZ, MATCH(D123, 'P&amp;L SR 2'!B:B, 0), MATCH("TOTAL", 'P&amp;L SR 2'!$5:$5, 0)), 0)</f>
        <v>328889.40999999997</v>
      </c>
      <c r="D123" s="727" t="s">
        <v>568</v>
      </c>
      <c r="E123" s="730">
        <f>(E122)+(0)</f>
        <v>476019.82999999984</v>
      </c>
    </row>
    <row r="124" spans="1:5">
      <c r="D124" s="727"/>
      <c r="E124" s="728"/>
    </row>
    <row r="127" spans="1:5">
      <c r="D127" s="941" t="s">
        <v>4372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A1C05-D5DE-4764-BFD6-8DB9D29D7A56}">
  <dimension ref="A1:T43"/>
  <sheetViews>
    <sheetView topLeftCell="A15" workbookViewId="0">
      <selection activeCell="B27" sqref="B27"/>
    </sheetView>
  </sheetViews>
  <sheetFormatPr defaultRowHeight="15.5"/>
  <cols>
    <col min="2" max="2" width="40" customWidth="1"/>
    <col min="3" max="3" width="6.53515625" customWidth="1"/>
    <col min="4" max="5" width="7.3046875" customWidth="1"/>
    <col min="6" max="6" width="6.53515625" customWidth="1"/>
    <col min="7" max="8" width="8" customWidth="1"/>
    <col min="9" max="9" width="6.53515625" customWidth="1"/>
    <col min="10" max="11" width="8" customWidth="1"/>
    <col min="12" max="12" width="7.3046875" customWidth="1"/>
    <col min="13" max="13" width="8.69140625" customWidth="1"/>
    <col min="14" max="14" width="7.3046875" customWidth="1"/>
    <col min="15" max="15" width="8" customWidth="1"/>
    <col min="16" max="16" width="8.69140625" customWidth="1"/>
    <col min="17" max="17" width="6.53515625" customWidth="1"/>
    <col min="18" max="20" width="8.69140625" customWidth="1"/>
  </cols>
  <sheetData>
    <row r="1" spans="1:20" ht="18">
      <c r="A1" s="724" t="s">
        <v>4287</v>
      </c>
      <c r="B1" s="766" t="s">
        <v>4288</v>
      </c>
      <c r="C1" s="767"/>
      <c r="D1" s="767"/>
      <c r="E1" s="767"/>
      <c r="F1" s="767"/>
      <c r="G1" s="767"/>
      <c r="H1" s="767"/>
      <c r="I1" s="767"/>
      <c r="J1" s="767"/>
      <c r="K1" s="767"/>
      <c r="L1" s="767"/>
      <c r="M1" s="767"/>
      <c r="N1" s="767"/>
      <c r="O1" s="767"/>
      <c r="P1" s="767"/>
      <c r="Q1" s="767"/>
      <c r="R1" s="767"/>
      <c r="S1" s="767"/>
      <c r="T1" s="767"/>
    </row>
    <row r="2" spans="1:20" ht="18">
      <c r="A2" s="478"/>
      <c r="B2" s="766" t="s">
        <v>4373</v>
      </c>
      <c r="C2" s="767"/>
      <c r="D2" s="767"/>
      <c r="E2" s="767"/>
      <c r="F2" s="767"/>
      <c r="G2" s="767"/>
      <c r="H2" s="767"/>
      <c r="I2" s="767"/>
      <c r="J2" s="767"/>
      <c r="K2" s="767"/>
      <c r="L2" s="767"/>
      <c r="M2" s="767"/>
      <c r="N2" s="767"/>
      <c r="O2" s="767"/>
      <c r="P2" s="767"/>
      <c r="Q2" s="767"/>
      <c r="R2" s="767"/>
      <c r="S2" s="767"/>
      <c r="T2" s="767"/>
    </row>
    <row r="3" spans="1:20">
      <c r="A3" s="478"/>
      <c r="B3" s="768" t="s">
        <v>4358</v>
      </c>
      <c r="C3" s="767"/>
      <c r="D3" s="767"/>
      <c r="E3" s="767"/>
      <c r="F3" s="767"/>
      <c r="G3" s="767"/>
      <c r="H3" s="767"/>
      <c r="I3" s="767"/>
      <c r="J3" s="767"/>
      <c r="K3" s="767"/>
      <c r="L3" s="767"/>
      <c r="M3" s="767"/>
      <c r="N3" s="767"/>
      <c r="O3" s="767"/>
      <c r="P3" s="767"/>
      <c r="Q3" s="767"/>
      <c r="R3" s="767"/>
      <c r="S3" s="767"/>
      <c r="T3" s="767"/>
    </row>
    <row r="4" spans="1:20">
      <c r="A4" s="478"/>
    </row>
    <row r="5" spans="1:20" ht="24">
      <c r="A5" s="478"/>
      <c r="B5" s="725"/>
      <c r="C5" s="726" t="s">
        <v>4304</v>
      </c>
      <c r="D5" s="726" t="s">
        <v>262</v>
      </c>
      <c r="E5" s="726" t="s">
        <v>4308</v>
      </c>
      <c r="F5" s="726" t="s">
        <v>4309</v>
      </c>
      <c r="G5" s="726" t="s">
        <v>4314</v>
      </c>
      <c r="H5" s="726" t="s">
        <v>4316</v>
      </c>
      <c r="I5" s="726" t="s">
        <v>4317</v>
      </c>
      <c r="J5" s="726" t="s">
        <v>4318</v>
      </c>
      <c r="K5" s="726" t="s">
        <v>4319</v>
      </c>
      <c r="L5" s="726" t="s">
        <v>4320</v>
      </c>
      <c r="M5" s="726" t="s">
        <v>263</v>
      </c>
      <c r="N5" s="726" t="s">
        <v>281</v>
      </c>
      <c r="O5" s="726" t="s">
        <v>440</v>
      </c>
      <c r="P5" s="726" t="s">
        <v>4321</v>
      </c>
      <c r="Q5" s="726" t="s">
        <v>4322</v>
      </c>
      <c r="R5" s="726" t="s">
        <v>434</v>
      </c>
      <c r="S5" s="726" t="s">
        <v>4323</v>
      </c>
      <c r="T5" s="726" t="s">
        <v>264</v>
      </c>
    </row>
    <row r="6" spans="1:20">
      <c r="A6" s="478"/>
      <c r="B6" s="727" t="s">
        <v>441</v>
      </c>
      <c r="C6" s="728"/>
      <c r="D6" s="728"/>
      <c r="E6" s="728"/>
      <c r="F6" s="728"/>
      <c r="G6" s="728"/>
      <c r="H6" s="728"/>
      <c r="I6" s="728"/>
      <c r="J6" s="728"/>
      <c r="K6" s="728"/>
      <c r="L6" s="728"/>
      <c r="M6" s="728"/>
      <c r="N6" s="728"/>
      <c r="O6" s="728"/>
      <c r="P6" s="728"/>
      <c r="Q6" s="728"/>
      <c r="R6" s="728"/>
      <c r="S6" s="728"/>
      <c r="T6" s="728"/>
    </row>
    <row r="7" spans="1:20">
      <c r="A7" s="478"/>
      <c r="B7" s="727" t="s">
        <v>445</v>
      </c>
      <c r="C7" s="728"/>
      <c r="D7" s="728"/>
      <c r="E7" s="729">
        <f t="shared" ref="E7:E19" si="0">(C7)+(D7)</f>
        <v>0</v>
      </c>
      <c r="F7" s="728"/>
      <c r="G7" s="728"/>
      <c r="H7" s="729">
        <f t="shared" ref="H7:H19" si="1">(F7)+(G7)</f>
        <v>0</v>
      </c>
      <c r="I7" s="728"/>
      <c r="J7" s="728"/>
      <c r="K7" s="728"/>
      <c r="L7" s="728"/>
      <c r="M7" s="728"/>
      <c r="N7" s="728"/>
      <c r="O7" s="728"/>
      <c r="P7" s="729">
        <f t="shared" ref="P7:P19" si="2">((((((I7)+(J7))+(K7))+(L7))+(M7))+(N7))+(O7)</f>
        <v>0</v>
      </c>
      <c r="Q7" s="728"/>
      <c r="R7" s="728"/>
      <c r="S7" s="729">
        <f t="shared" ref="S7:S19" si="3">(Q7)+(R7)</f>
        <v>0</v>
      </c>
      <c r="T7" s="729">
        <f t="shared" ref="T7:T19" si="4">(((E7)+(H7))+(P7))+(S7)</f>
        <v>0</v>
      </c>
    </row>
    <row r="8" spans="1:20">
      <c r="A8" s="478" cm="1">
        <f t="array" ref="A8">INDEX('Master Mapping'!O:O, MATCH(TRUE, EXACT(TEXT(LEFT(TRIM(B8), 7), "@"), 'Master Mapping'!A:A), 0))</f>
        <v>2</v>
      </c>
      <c r="B8" s="727" t="s">
        <v>267</v>
      </c>
      <c r="C8" s="728"/>
      <c r="D8" s="729">
        <f>3143</f>
        <v>3143</v>
      </c>
      <c r="E8" s="729">
        <f t="shared" si="0"/>
        <v>3143</v>
      </c>
      <c r="F8" s="728"/>
      <c r="G8" s="728"/>
      <c r="H8" s="729">
        <f t="shared" si="1"/>
        <v>0</v>
      </c>
      <c r="I8" s="728"/>
      <c r="J8" s="728"/>
      <c r="K8" s="728"/>
      <c r="L8" s="728"/>
      <c r="M8" s="728"/>
      <c r="N8" s="728"/>
      <c r="O8" s="728"/>
      <c r="P8" s="729">
        <f t="shared" si="2"/>
        <v>0</v>
      </c>
      <c r="Q8" s="728"/>
      <c r="R8" s="728"/>
      <c r="S8" s="729">
        <f t="shared" si="3"/>
        <v>0</v>
      </c>
      <c r="T8" s="729">
        <f t="shared" si="4"/>
        <v>3143</v>
      </c>
    </row>
    <row r="9" spans="1:20">
      <c r="A9" s="478" t="e" cm="1">
        <f t="array" ref="A9">INDEX('Master Mapping'!O:O, MATCH(TRUE, EXACT(TEXT(LEFT(TRIM(B9), 7), "@"), 'Master Mapping'!A:A), 0))</f>
        <v>#N/A</v>
      </c>
      <c r="B9" s="727" t="s">
        <v>447</v>
      </c>
      <c r="C9" s="730">
        <f>(C7)+(C8)</f>
        <v>0</v>
      </c>
      <c r="D9" s="730">
        <f>(D7)+(D8)</f>
        <v>3143</v>
      </c>
      <c r="E9" s="730">
        <f t="shared" si="0"/>
        <v>3143</v>
      </c>
      <c r="F9" s="730">
        <f>(F7)+(F8)</f>
        <v>0</v>
      </c>
      <c r="G9" s="730">
        <f>(G7)+(G8)</f>
        <v>0</v>
      </c>
      <c r="H9" s="730">
        <f t="shared" si="1"/>
        <v>0</v>
      </c>
      <c r="I9" s="730">
        <f t="shared" ref="I9:O9" si="5">(I7)+(I8)</f>
        <v>0</v>
      </c>
      <c r="J9" s="730">
        <f t="shared" si="5"/>
        <v>0</v>
      </c>
      <c r="K9" s="730">
        <f t="shared" si="5"/>
        <v>0</v>
      </c>
      <c r="L9" s="730">
        <f t="shared" si="5"/>
        <v>0</v>
      </c>
      <c r="M9" s="730">
        <f t="shared" si="5"/>
        <v>0</v>
      </c>
      <c r="N9" s="730">
        <f t="shared" si="5"/>
        <v>0</v>
      </c>
      <c r="O9" s="730">
        <f t="shared" si="5"/>
        <v>0</v>
      </c>
      <c r="P9" s="730">
        <f t="shared" si="2"/>
        <v>0</v>
      </c>
      <c r="Q9" s="730">
        <f>(Q7)+(Q8)</f>
        <v>0</v>
      </c>
      <c r="R9" s="730">
        <f>(R7)+(R8)</f>
        <v>0</v>
      </c>
      <c r="S9" s="730">
        <f t="shared" si="3"/>
        <v>0</v>
      </c>
      <c r="T9" s="730">
        <f t="shared" si="4"/>
        <v>3143</v>
      </c>
    </row>
    <row r="10" spans="1:20">
      <c r="A10" s="478" t="e" cm="1">
        <f t="array" ref="A10">INDEX('Master Mapping'!O:O, MATCH(TRUE, EXACT(TEXT(LEFT(TRIM(B10), 7), "@"), 'Master Mapping'!A:A), 0))</f>
        <v>#N/A</v>
      </c>
      <c r="B10" s="727" t="s">
        <v>448</v>
      </c>
      <c r="C10" s="728"/>
      <c r="D10" s="728"/>
      <c r="E10" s="729">
        <f t="shared" si="0"/>
        <v>0</v>
      </c>
      <c r="F10" s="728"/>
      <c r="G10" s="728"/>
      <c r="H10" s="729">
        <f t="shared" si="1"/>
        <v>0</v>
      </c>
      <c r="I10" s="728"/>
      <c r="J10" s="728"/>
      <c r="K10" s="728"/>
      <c r="L10" s="728"/>
      <c r="M10" s="728"/>
      <c r="N10" s="728"/>
      <c r="O10" s="728"/>
      <c r="P10" s="729">
        <f t="shared" si="2"/>
        <v>0</v>
      </c>
      <c r="Q10" s="728"/>
      <c r="R10" s="728"/>
      <c r="S10" s="729">
        <f t="shared" si="3"/>
        <v>0</v>
      </c>
      <c r="T10" s="729">
        <f t="shared" si="4"/>
        <v>0</v>
      </c>
    </row>
    <row r="11" spans="1:20">
      <c r="A11" s="478" cm="1">
        <f t="array" ref="A11">INDEX('Master Mapping'!O:O, MATCH(TRUE, EXACT(TEXT(LEFT(TRIM(B11), 7), "@"), 'Master Mapping'!A:A), 0))</f>
        <v>5</v>
      </c>
      <c r="B11" s="727" t="s">
        <v>449</v>
      </c>
      <c r="C11" s="728"/>
      <c r="D11" s="728"/>
      <c r="E11" s="729">
        <f t="shared" si="0"/>
        <v>0</v>
      </c>
      <c r="F11" s="728"/>
      <c r="G11" s="728"/>
      <c r="H11" s="729">
        <f t="shared" si="1"/>
        <v>0</v>
      </c>
      <c r="I11" s="728"/>
      <c r="J11" s="728"/>
      <c r="K11" s="728"/>
      <c r="L11" s="728"/>
      <c r="M11" s="728"/>
      <c r="N11" s="728"/>
      <c r="O11" s="728"/>
      <c r="P11" s="729">
        <f t="shared" si="2"/>
        <v>0</v>
      </c>
      <c r="Q11" s="728"/>
      <c r="R11" s="729">
        <f>106375.79</f>
        <v>106375.79</v>
      </c>
      <c r="S11" s="729">
        <f t="shared" si="3"/>
        <v>106375.79</v>
      </c>
      <c r="T11" s="729">
        <f t="shared" si="4"/>
        <v>106375.79</v>
      </c>
    </row>
    <row r="12" spans="1:20">
      <c r="A12" s="478" cm="1">
        <f t="array" ref="A12">INDEX('Master Mapping'!O:O, MATCH(TRUE, EXACT(TEXT(LEFT(TRIM(B12), 7), "@"), 'Master Mapping'!A:A), 0))</f>
        <v>5</v>
      </c>
      <c r="B12" s="727" t="s">
        <v>268</v>
      </c>
      <c r="C12" s="728"/>
      <c r="D12" s="728"/>
      <c r="E12" s="729">
        <f t="shared" si="0"/>
        <v>0</v>
      </c>
      <c r="F12" s="728"/>
      <c r="G12" s="729">
        <f>78424</f>
        <v>78424</v>
      </c>
      <c r="H12" s="729">
        <f t="shared" si="1"/>
        <v>78424</v>
      </c>
      <c r="I12" s="728"/>
      <c r="J12" s="728"/>
      <c r="K12" s="728"/>
      <c r="L12" s="728"/>
      <c r="M12" s="728"/>
      <c r="N12" s="728"/>
      <c r="O12" s="728"/>
      <c r="P12" s="729">
        <f t="shared" si="2"/>
        <v>0</v>
      </c>
      <c r="Q12" s="728"/>
      <c r="R12" s="728"/>
      <c r="S12" s="729">
        <f t="shared" si="3"/>
        <v>0</v>
      </c>
      <c r="T12" s="729">
        <f t="shared" si="4"/>
        <v>78424</v>
      </c>
    </row>
    <row r="13" spans="1:20">
      <c r="A13" s="478" cm="1">
        <f t="array" ref="A13">INDEX('Master Mapping'!O:O, MATCH(TRUE, EXACT(TEXT(LEFT(TRIM(B13), 7), "@"), 'Master Mapping'!A:A), 0))</f>
        <v>5</v>
      </c>
      <c r="B13" s="727" t="s">
        <v>450</v>
      </c>
      <c r="C13" s="728"/>
      <c r="D13" s="728"/>
      <c r="E13" s="729">
        <f t="shared" si="0"/>
        <v>0</v>
      </c>
      <c r="F13" s="728"/>
      <c r="G13" s="728"/>
      <c r="H13" s="729">
        <f t="shared" si="1"/>
        <v>0</v>
      </c>
      <c r="I13" s="728"/>
      <c r="J13" s="728"/>
      <c r="K13" s="728"/>
      <c r="L13" s="728"/>
      <c r="M13" s="729">
        <f>451178</f>
        <v>451178</v>
      </c>
      <c r="N13" s="728"/>
      <c r="O13" s="728"/>
      <c r="P13" s="729">
        <f t="shared" si="2"/>
        <v>451178</v>
      </c>
      <c r="Q13" s="728"/>
      <c r="R13" s="728"/>
      <c r="S13" s="729">
        <f t="shared" si="3"/>
        <v>0</v>
      </c>
      <c r="T13" s="729">
        <f t="shared" si="4"/>
        <v>451178</v>
      </c>
    </row>
    <row r="14" spans="1:20">
      <c r="A14" s="478" cm="1">
        <f t="array" ref="A14">INDEX('Master Mapping'!O:O, MATCH(TRUE, EXACT(TEXT(LEFT(TRIM(B14), 7), "@"), 'Master Mapping'!A:A), 0))</f>
        <v>5</v>
      </c>
      <c r="B14" s="727" t="s">
        <v>451</v>
      </c>
      <c r="C14" s="728"/>
      <c r="D14" s="728"/>
      <c r="E14" s="729">
        <f t="shared" si="0"/>
        <v>0</v>
      </c>
      <c r="F14" s="728"/>
      <c r="G14" s="728"/>
      <c r="H14" s="729">
        <f t="shared" si="1"/>
        <v>0</v>
      </c>
      <c r="I14" s="728"/>
      <c r="J14" s="728"/>
      <c r="K14" s="728"/>
      <c r="L14" s="728"/>
      <c r="M14" s="728"/>
      <c r="N14" s="728"/>
      <c r="O14" s="729">
        <f>22338</f>
        <v>22338</v>
      </c>
      <c r="P14" s="729">
        <f t="shared" si="2"/>
        <v>22338</v>
      </c>
      <c r="Q14" s="728"/>
      <c r="R14" s="728"/>
      <c r="S14" s="729">
        <f t="shared" si="3"/>
        <v>0</v>
      </c>
      <c r="T14" s="729">
        <f t="shared" si="4"/>
        <v>22338</v>
      </c>
    </row>
    <row r="15" spans="1:20">
      <c r="A15" s="478" cm="1">
        <f t="array" ref="A15">INDEX('Master Mapping'!O:O, MATCH(TRUE, EXACT(TEXT(LEFT(TRIM(B15), 7), "@"), 'Master Mapping'!A:A), 0))</f>
        <v>5</v>
      </c>
      <c r="B15" s="727" t="s">
        <v>278</v>
      </c>
      <c r="C15" s="728"/>
      <c r="D15" s="728"/>
      <c r="E15" s="729">
        <f t="shared" si="0"/>
        <v>0</v>
      </c>
      <c r="F15" s="728"/>
      <c r="G15" s="728"/>
      <c r="H15" s="729">
        <f t="shared" si="1"/>
        <v>0</v>
      </c>
      <c r="I15" s="728"/>
      <c r="J15" s="728"/>
      <c r="K15" s="728"/>
      <c r="L15" s="728"/>
      <c r="M15" s="728"/>
      <c r="N15" s="729">
        <f>4341</f>
        <v>4341</v>
      </c>
      <c r="O15" s="728"/>
      <c r="P15" s="729">
        <f t="shared" si="2"/>
        <v>4341</v>
      </c>
      <c r="Q15" s="728"/>
      <c r="R15" s="728"/>
      <c r="S15" s="729">
        <f t="shared" si="3"/>
        <v>0</v>
      </c>
      <c r="T15" s="729">
        <f t="shared" si="4"/>
        <v>4341</v>
      </c>
    </row>
    <row r="16" spans="1:20">
      <c r="A16" s="478" cm="1">
        <f t="array" ref="A16">INDEX('Master Mapping'!O:O, MATCH(TRUE, EXACT(TEXT(LEFT(TRIM(B16), 7), "@"), 'Master Mapping'!A:A), 0))</f>
        <v>5</v>
      </c>
      <c r="B16" s="727" t="s">
        <v>730</v>
      </c>
      <c r="C16" s="728"/>
      <c r="D16" s="728"/>
      <c r="E16" s="729">
        <f t="shared" si="0"/>
        <v>0</v>
      </c>
      <c r="F16" s="728"/>
      <c r="G16" s="728"/>
      <c r="H16" s="729">
        <f t="shared" si="1"/>
        <v>0</v>
      </c>
      <c r="I16" s="728"/>
      <c r="J16" s="729">
        <f>37771</f>
        <v>37771</v>
      </c>
      <c r="K16" s="729">
        <f>62591</f>
        <v>62591</v>
      </c>
      <c r="L16" s="729">
        <f>3327</f>
        <v>3327</v>
      </c>
      <c r="M16" s="728"/>
      <c r="N16" s="728"/>
      <c r="O16" s="728"/>
      <c r="P16" s="729">
        <f t="shared" si="2"/>
        <v>103689</v>
      </c>
      <c r="Q16" s="728"/>
      <c r="R16" s="728"/>
      <c r="S16" s="729">
        <f t="shared" si="3"/>
        <v>0</v>
      </c>
      <c r="T16" s="729">
        <f t="shared" si="4"/>
        <v>103689</v>
      </c>
    </row>
    <row r="17" spans="1:20">
      <c r="A17" s="478" t="e" cm="1">
        <f t="array" ref="A17">INDEX('Master Mapping'!O:O, MATCH(TRUE, EXACT(TEXT(LEFT(TRIM(B17), 7), "@"), 'Master Mapping'!A:A), 0))</f>
        <v>#N/A</v>
      </c>
      <c r="B17" s="727" t="s">
        <v>453</v>
      </c>
      <c r="C17" s="730">
        <f>((((((C10)+(C11))+(C12))+(C13))+(C14))+(C15))+(C16)</f>
        <v>0</v>
      </c>
      <c r="D17" s="730">
        <f>((((((D10)+(D11))+(D12))+(D13))+(D14))+(D15))+(D16)</f>
        <v>0</v>
      </c>
      <c r="E17" s="730">
        <f t="shared" si="0"/>
        <v>0</v>
      </c>
      <c r="F17" s="730">
        <f>((((((F10)+(F11))+(F12))+(F13))+(F14))+(F15))+(F16)</f>
        <v>0</v>
      </c>
      <c r="G17" s="730">
        <f>((((((G10)+(G11))+(G12))+(G13))+(G14))+(G15))+(G16)</f>
        <v>78424</v>
      </c>
      <c r="H17" s="730">
        <f t="shared" si="1"/>
        <v>78424</v>
      </c>
      <c r="I17" s="730">
        <f t="shared" ref="I17:O17" si="6">((((((I10)+(I11))+(I12))+(I13))+(I14))+(I15))+(I16)</f>
        <v>0</v>
      </c>
      <c r="J17" s="730">
        <f t="shared" si="6"/>
        <v>37771</v>
      </c>
      <c r="K17" s="730">
        <f t="shared" si="6"/>
        <v>62591</v>
      </c>
      <c r="L17" s="730">
        <f t="shared" si="6"/>
        <v>3327</v>
      </c>
      <c r="M17" s="730">
        <f t="shared" si="6"/>
        <v>451178</v>
      </c>
      <c r="N17" s="730">
        <f t="shared" si="6"/>
        <v>4341</v>
      </c>
      <c r="O17" s="730">
        <f t="shared" si="6"/>
        <v>22338</v>
      </c>
      <c r="P17" s="730">
        <f t="shared" si="2"/>
        <v>581546</v>
      </c>
      <c r="Q17" s="730">
        <f>((((((Q10)+(Q11))+(Q12))+(Q13))+(Q14))+(Q15))+(Q16)</f>
        <v>0</v>
      </c>
      <c r="R17" s="730">
        <f>((((((R10)+(R11))+(R12))+(R13))+(R14))+(R15))+(R16)</f>
        <v>106375.79</v>
      </c>
      <c r="S17" s="730">
        <f t="shared" si="3"/>
        <v>106375.79</v>
      </c>
      <c r="T17" s="730">
        <f t="shared" si="4"/>
        <v>766345.79</v>
      </c>
    </row>
    <row r="18" spans="1:20">
      <c r="A18" s="478" t="e" cm="1">
        <f t="array" ref="A18">INDEX('Master Mapping'!O:O, MATCH(TRUE, EXACT(TEXT(LEFT(TRIM(B18), 7), "@"), 'Master Mapping'!A:A), 0))</f>
        <v>#N/A</v>
      </c>
      <c r="B18" s="727" t="s">
        <v>454</v>
      </c>
      <c r="C18" s="730">
        <f>(C9)+(C17)</f>
        <v>0</v>
      </c>
      <c r="D18" s="730">
        <f>(D9)+(D17)</f>
        <v>3143</v>
      </c>
      <c r="E18" s="730">
        <f t="shared" si="0"/>
        <v>3143</v>
      </c>
      <c r="F18" s="730">
        <f>(F9)+(F17)</f>
        <v>0</v>
      </c>
      <c r="G18" s="730">
        <f>(G9)+(G17)</f>
        <v>78424</v>
      </c>
      <c r="H18" s="730">
        <f t="shared" si="1"/>
        <v>78424</v>
      </c>
      <c r="I18" s="730">
        <f t="shared" ref="I18:O18" si="7">(I9)+(I17)</f>
        <v>0</v>
      </c>
      <c r="J18" s="730">
        <f t="shared" si="7"/>
        <v>37771</v>
      </c>
      <c r="K18" s="730">
        <f t="shared" si="7"/>
        <v>62591</v>
      </c>
      <c r="L18" s="730">
        <f t="shared" si="7"/>
        <v>3327</v>
      </c>
      <c r="M18" s="730">
        <f t="shared" si="7"/>
        <v>451178</v>
      </c>
      <c r="N18" s="730">
        <f t="shared" si="7"/>
        <v>4341</v>
      </c>
      <c r="O18" s="730">
        <f t="shared" si="7"/>
        <v>22338</v>
      </c>
      <c r="P18" s="730">
        <f t="shared" si="2"/>
        <v>581546</v>
      </c>
      <c r="Q18" s="730">
        <f>(Q9)+(Q17)</f>
        <v>0</v>
      </c>
      <c r="R18" s="730">
        <f>(R9)+(R17)</f>
        <v>106375.79</v>
      </c>
      <c r="S18" s="730">
        <f t="shared" si="3"/>
        <v>106375.79</v>
      </c>
      <c r="T18" s="730">
        <f t="shared" si="4"/>
        <v>769488.79</v>
      </c>
    </row>
    <row r="19" spans="1:20">
      <c r="A19" s="478" t="e" cm="1">
        <f t="array" ref="A19">INDEX('Master Mapping'!O:O, MATCH(TRUE, EXACT(TEXT(LEFT(TRIM(B19), 7), "@"), 'Master Mapping'!A:A), 0))</f>
        <v>#N/A</v>
      </c>
      <c r="B19" s="727" t="s">
        <v>270</v>
      </c>
      <c r="C19" s="730">
        <f>(C18)-(0)</f>
        <v>0</v>
      </c>
      <c r="D19" s="730">
        <f>(D18)-(0)</f>
        <v>3143</v>
      </c>
      <c r="E19" s="730">
        <f t="shared" si="0"/>
        <v>3143</v>
      </c>
      <c r="F19" s="730">
        <f>(F18)-(0)</f>
        <v>0</v>
      </c>
      <c r="G19" s="730">
        <f>(G18)-(0)</f>
        <v>78424</v>
      </c>
      <c r="H19" s="730">
        <f t="shared" si="1"/>
        <v>78424</v>
      </c>
      <c r="I19" s="730">
        <f t="shared" ref="I19:O19" si="8">(I18)-(0)</f>
        <v>0</v>
      </c>
      <c r="J19" s="730">
        <f t="shared" si="8"/>
        <v>37771</v>
      </c>
      <c r="K19" s="730">
        <f t="shared" si="8"/>
        <v>62591</v>
      </c>
      <c r="L19" s="730">
        <f t="shared" si="8"/>
        <v>3327</v>
      </c>
      <c r="M19" s="730">
        <f t="shared" si="8"/>
        <v>451178</v>
      </c>
      <c r="N19" s="730">
        <f t="shared" si="8"/>
        <v>4341</v>
      </c>
      <c r="O19" s="730">
        <f t="shared" si="8"/>
        <v>22338</v>
      </c>
      <c r="P19" s="730">
        <f t="shared" si="2"/>
        <v>581546</v>
      </c>
      <c r="Q19" s="730">
        <f>(Q18)-(0)</f>
        <v>0</v>
      </c>
      <c r="R19" s="730">
        <f>(R18)-(0)</f>
        <v>106375.79</v>
      </c>
      <c r="S19" s="730">
        <f t="shared" si="3"/>
        <v>106375.79</v>
      </c>
      <c r="T19" s="730">
        <f t="shared" si="4"/>
        <v>769488.79</v>
      </c>
    </row>
    <row r="20" spans="1:20">
      <c r="A20" s="478" t="e" cm="1">
        <f t="array" ref="A20">INDEX('Master Mapping'!O:O, MATCH(TRUE, EXACT(TEXT(LEFT(TRIM(B20), 7), "@"), 'Master Mapping'!A:A), 0))</f>
        <v>#N/A</v>
      </c>
      <c r="B20" s="727" t="s">
        <v>243</v>
      </c>
      <c r="C20" s="728"/>
      <c r="D20" s="728"/>
      <c r="E20" s="728"/>
      <c r="F20" s="728"/>
      <c r="G20" s="728"/>
      <c r="H20" s="728"/>
      <c r="I20" s="728"/>
      <c r="J20" s="728"/>
      <c r="K20" s="728"/>
      <c r="L20" s="728"/>
      <c r="M20" s="728"/>
      <c r="N20" s="728"/>
      <c r="O20" s="728"/>
      <c r="P20" s="728"/>
      <c r="Q20" s="728"/>
      <c r="R20" s="728"/>
      <c r="S20" s="728"/>
      <c r="T20" s="728"/>
    </row>
    <row r="21" spans="1:20">
      <c r="A21" s="478" t="e" cm="1">
        <f t="array" ref="A21">INDEX('Master Mapping'!O:O, MATCH(TRUE, EXACT(TEXT(LEFT(TRIM(B21), 7), "@"), 'Master Mapping'!A:A), 0))</f>
        <v>#N/A</v>
      </c>
      <c r="B21" s="727" t="s">
        <v>455</v>
      </c>
      <c r="C21" s="728"/>
      <c r="D21" s="728"/>
      <c r="E21" s="729">
        <f t="shared" ref="E21:E39" si="9">(C21)+(D21)</f>
        <v>0</v>
      </c>
      <c r="F21" s="728"/>
      <c r="G21" s="728"/>
      <c r="H21" s="729">
        <f t="shared" ref="H21:H39" si="10">(F21)+(G21)</f>
        <v>0</v>
      </c>
      <c r="I21" s="728"/>
      <c r="J21" s="728"/>
      <c r="K21" s="728"/>
      <c r="L21" s="728"/>
      <c r="M21" s="728"/>
      <c r="N21" s="728"/>
      <c r="O21" s="728"/>
      <c r="P21" s="729">
        <f t="shared" ref="P21:P39" si="11">((((((I21)+(J21))+(K21))+(L21))+(M21))+(N21))+(O21)</f>
        <v>0</v>
      </c>
      <c r="Q21" s="728"/>
      <c r="R21" s="728"/>
      <c r="S21" s="729">
        <f t="shared" ref="S21:S39" si="12">(Q21)+(R21)</f>
        <v>0</v>
      </c>
      <c r="T21" s="729">
        <f t="shared" ref="T21:T39" si="13">(((E21)+(H21))+(P21))+(S21)</f>
        <v>0</v>
      </c>
    </row>
    <row r="22" spans="1:20">
      <c r="A22" s="478" cm="1">
        <f t="array" ref="A22">INDEX('Master Mapping'!O:O, MATCH(TRUE, EXACT(TEXT(LEFT(TRIM(B22), 7), "@"), 'Master Mapping'!A:A), 0))</f>
        <v>16</v>
      </c>
      <c r="B22" s="727" t="s">
        <v>457</v>
      </c>
      <c r="C22" s="728"/>
      <c r="D22" s="728"/>
      <c r="E22" s="729">
        <f t="shared" si="9"/>
        <v>0</v>
      </c>
      <c r="F22" s="728"/>
      <c r="G22" s="728"/>
      <c r="H22" s="729">
        <f t="shared" si="10"/>
        <v>0</v>
      </c>
      <c r="I22" s="728"/>
      <c r="J22" s="728"/>
      <c r="K22" s="728"/>
      <c r="L22" s="728"/>
      <c r="M22" s="729">
        <f>3333.1</f>
        <v>3333.1</v>
      </c>
      <c r="N22" s="728"/>
      <c r="O22" s="728"/>
      <c r="P22" s="729">
        <f t="shared" si="11"/>
        <v>3333.1</v>
      </c>
      <c r="Q22" s="728"/>
      <c r="R22" s="728"/>
      <c r="S22" s="729">
        <f t="shared" si="12"/>
        <v>0</v>
      </c>
      <c r="T22" s="729">
        <f t="shared" si="13"/>
        <v>3333.1</v>
      </c>
    </row>
    <row r="23" spans="1:20">
      <c r="A23" s="478" cm="1">
        <f t="array" ref="A23">INDEX('Master Mapping'!O:O, MATCH(TRUE, EXACT(TEXT(LEFT(TRIM(B23), 7), "@"), 'Master Mapping'!A:A), 0))</f>
        <v>7</v>
      </c>
      <c r="B23" s="727" t="s">
        <v>460</v>
      </c>
      <c r="C23" s="728"/>
      <c r="D23" s="728"/>
      <c r="E23" s="729">
        <f t="shared" si="9"/>
        <v>0</v>
      </c>
      <c r="F23" s="728"/>
      <c r="G23" s="729">
        <f>24568.62</f>
        <v>24568.62</v>
      </c>
      <c r="H23" s="729">
        <f t="shared" si="10"/>
        <v>24568.62</v>
      </c>
      <c r="I23" s="728"/>
      <c r="J23" s="728"/>
      <c r="K23" s="729">
        <f>27489.73</f>
        <v>27489.73</v>
      </c>
      <c r="L23" s="728"/>
      <c r="M23" s="729">
        <f>227723.84</f>
        <v>227723.84</v>
      </c>
      <c r="N23" s="728"/>
      <c r="O23" s="729">
        <f>11642</f>
        <v>11642</v>
      </c>
      <c r="P23" s="729">
        <f t="shared" si="11"/>
        <v>266855.57</v>
      </c>
      <c r="Q23" s="728"/>
      <c r="R23" s="728"/>
      <c r="S23" s="729">
        <f t="shared" si="12"/>
        <v>0</v>
      </c>
      <c r="T23" s="729">
        <f t="shared" si="13"/>
        <v>291424.19</v>
      </c>
    </row>
    <row r="24" spans="1:20">
      <c r="A24" s="478" cm="1">
        <f t="array" ref="A24">INDEX('Master Mapping'!O:O, MATCH(TRUE, EXACT(TEXT(LEFT(TRIM(B24), 7), "@"), 'Master Mapping'!A:A), 0))</f>
        <v>8</v>
      </c>
      <c r="B24" s="727" t="s">
        <v>461</v>
      </c>
      <c r="C24" s="728"/>
      <c r="D24" s="728"/>
      <c r="E24" s="729">
        <f t="shared" si="9"/>
        <v>0</v>
      </c>
      <c r="F24" s="728"/>
      <c r="G24" s="729">
        <f>19964.19</f>
        <v>19964.189999999999</v>
      </c>
      <c r="H24" s="729">
        <f t="shared" si="10"/>
        <v>19964.189999999999</v>
      </c>
      <c r="I24" s="728"/>
      <c r="J24" s="729">
        <f>11712</f>
        <v>11712</v>
      </c>
      <c r="K24" s="728"/>
      <c r="L24" s="728"/>
      <c r="M24" s="728"/>
      <c r="N24" s="728"/>
      <c r="O24" s="728"/>
      <c r="P24" s="729">
        <f t="shared" si="11"/>
        <v>11712</v>
      </c>
      <c r="Q24" s="728"/>
      <c r="R24" s="728"/>
      <c r="S24" s="729">
        <f t="shared" si="12"/>
        <v>0</v>
      </c>
      <c r="T24" s="729">
        <f t="shared" si="13"/>
        <v>31676.19</v>
      </c>
    </row>
    <row r="25" spans="1:20">
      <c r="A25" s="478" cm="1">
        <f t="array" ref="A25">INDEX('Master Mapping'!O:O, MATCH(TRUE, EXACT(TEXT(LEFT(TRIM(B25), 7), "@"), 'Master Mapping'!A:A), 0))</f>
        <v>14</v>
      </c>
      <c r="B25" s="727" t="s">
        <v>463</v>
      </c>
      <c r="C25" s="728"/>
      <c r="D25" s="728"/>
      <c r="E25" s="729">
        <f t="shared" si="9"/>
        <v>0</v>
      </c>
      <c r="F25" s="728"/>
      <c r="G25" s="728"/>
      <c r="H25" s="729">
        <f t="shared" si="10"/>
        <v>0</v>
      </c>
      <c r="I25" s="728"/>
      <c r="J25" s="728"/>
      <c r="K25" s="729">
        <f>6073.4</f>
        <v>6073.4</v>
      </c>
      <c r="L25" s="728"/>
      <c r="M25" s="728"/>
      <c r="N25" s="728"/>
      <c r="O25" s="728"/>
      <c r="P25" s="729">
        <f t="shared" si="11"/>
        <v>6073.4</v>
      </c>
      <c r="Q25" s="728"/>
      <c r="R25" s="728"/>
      <c r="S25" s="729">
        <f t="shared" si="12"/>
        <v>0</v>
      </c>
      <c r="T25" s="729">
        <f t="shared" si="13"/>
        <v>6073.4</v>
      </c>
    </row>
    <row r="26" spans="1:20">
      <c r="A26" s="478" cm="1">
        <f t="array" ref="A26">INDEX('Master Mapping'!O:O, MATCH(TRUE, EXACT(TEXT(LEFT(TRIM(B26), 7), "@"), 'Master Mapping'!A:A), 0))</f>
        <v>8</v>
      </c>
      <c r="B26" s="727" t="s">
        <v>271</v>
      </c>
      <c r="C26" s="728"/>
      <c r="D26" s="728"/>
      <c r="E26" s="729">
        <f t="shared" si="9"/>
        <v>0</v>
      </c>
      <c r="F26" s="728"/>
      <c r="G26" s="728"/>
      <c r="H26" s="729">
        <f t="shared" si="10"/>
        <v>0</v>
      </c>
      <c r="I26" s="728"/>
      <c r="J26" s="729">
        <f>13066</f>
        <v>13066</v>
      </c>
      <c r="K26" s="728"/>
      <c r="L26" s="728"/>
      <c r="M26" s="728"/>
      <c r="N26" s="728"/>
      <c r="O26" s="728"/>
      <c r="P26" s="729">
        <f t="shared" si="11"/>
        <v>13066</v>
      </c>
      <c r="Q26" s="728"/>
      <c r="R26" s="728"/>
      <c r="S26" s="729">
        <f t="shared" si="12"/>
        <v>0</v>
      </c>
      <c r="T26" s="729">
        <f t="shared" si="13"/>
        <v>13066</v>
      </c>
    </row>
    <row r="27" spans="1:20">
      <c r="A27" s="478" t="e" cm="1">
        <f t="array" ref="A27">INDEX('Master Mapping'!O:O, MATCH(TRUE, EXACT(TEXT(LEFT(TRIM(B27), 7), "@"), 'Master Mapping'!A:A), 0))</f>
        <v>#N/A</v>
      </c>
      <c r="B27" s="727" t="s">
        <v>466</v>
      </c>
      <c r="C27" s="730">
        <f>(((((C21)+(C22))+(C23))+(C24))+(C25))+(C26)</f>
        <v>0</v>
      </c>
      <c r="D27" s="730">
        <f>(((((D21)+(D22))+(D23))+(D24))+(D25))+(D26)</f>
        <v>0</v>
      </c>
      <c r="E27" s="730">
        <f t="shared" si="9"/>
        <v>0</v>
      </c>
      <c r="F27" s="730">
        <f>(((((F21)+(F22))+(F23))+(F24))+(F25))+(F26)</f>
        <v>0</v>
      </c>
      <c r="G27" s="730">
        <f>(((((G21)+(G22))+(G23))+(G24))+(G25))+(G26)</f>
        <v>44532.81</v>
      </c>
      <c r="H27" s="730">
        <f t="shared" si="10"/>
        <v>44532.81</v>
      </c>
      <c r="I27" s="730">
        <f t="shared" ref="I27:O27" si="14">(((((I21)+(I22))+(I23))+(I24))+(I25))+(I26)</f>
        <v>0</v>
      </c>
      <c r="J27" s="730">
        <f t="shared" si="14"/>
        <v>24778</v>
      </c>
      <c r="K27" s="730">
        <f t="shared" si="14"/>
        <v>33563.129999999997</v>
      </c>
      <c r="L27" s="730">
        <f t="shared" si="14"/>
        <v>0</v>
      </c>
      <c r="M27" s="730">
        <f t="shared" si="14"/>
        <v>231056.94</v>
      </c>
      <c r="N27" s="730">
        <f t="shared" si="14"/>
        <v>0</v>
      </c>
      <c r="O27" s="730">
        <f t="shared" si="14"/>
        <v>11642</v>
      </c>
      <c r="P27" s="730">
        <f t="shared" si="11"/>
        <v>301040.07</v>
      </c>
      <c r="Q27" s="730">
        <f>(((((Q21)+(Q22))+(Q23))+(Q24))+(Q25))+(Q26)</f>
        <v>0</v>
      </c>
      <c r="R27" s="730">
        <f>(((((R21)+(R22))+(R23))+(R24))+(R25))+(R26)</f>
        <v>0</v>
      </c>
      <c r="S27" s="730">
        <f t="shared" si="12"/>
        <v>0</v>
      </c>
      <c r="T27" s="730">
        <f t="shared" si="13"/>
        <v>345572.88</v>
      </c>
    </row>
    <row r="28" spans="1:20">
      <c r="A28" s="478" t="e" cm="1">
        <f t="array" ref="A28">INDEX('Master Mapping'!O:O, MATCH(TRUE, EXACT(TEXT(LEFT(TRIM(B28), 7), "@"), 'Master Mapping'!A:A), 0))</f>
        <v>#N/A</v>
      </c>
      <c r="B28" s="727" t="s">
        <v>531</v>
      </c>
      <c r="C28" s="728"/>
      <c r="D28" s="728"/>
      <c r="E28" s="729">
        <f t="shared" si="9"/>
        <v>0</v>
      </c>
      <c r="F28" s="728"/>
      <c r="G28" s="728"/>
      <c r="H28" s="729">
        <f t="shared" si="10"/>
        <v>0</v>
      </c>
      <c r="I28" s="728"/>
      <c r="J28" s="728"/>
      <c r="K28" s="728"/>
      <c r="L28" s="728"/>
      <c r="M28" s="728"/>
      <c r="N28" s="728"/>
      <c r="O28" s="728"/>
      <c r="P28" s="729">
        <f t="shared" si="11"/>
        <v>0</v>
      </c>
      <c r="Q28" s="728"/>
      <c r="R28" s="728"/>
      <c r="S28" s="729">
        <f t="shared" si="12"/>
        <v>0</v>
      </c>
      <c r="T28" s="729">
        <f t="shared" si="13"/>
        <v>0</v>
      </c>
    </row>
    <row r="29" spans="1:20">
      <c r="A29" s="478" cm="1">
        <f t="array" ref="A29">INDEX('Master Mapping'!O:O, MATCH(TRUE, EXACT(TEXT(LEFT(TRIM(B29), 7), "@"), 'Master Mapping'!A:A), 0))</f>
        <v>21</v>
      </c>
      <c r="B29" s="727" t="s">
        <v>539</v>
      </c>
      <c r="C29" s="728"/>
      <c r="D29" s="728"/>
      <c r="E29" s="729">
        <f t="shared" si="9"/>
        <v>0</v>
      </c>
      <c r="F29" s="728"/>
      <c r="G29" s="728"/>
      <c r="H29" s="729">
        <f t="shared" si="10"/>
        <v>0</v>
      </c>
      <c r="I29" s="728"/>
      <c r="J29" s="728"/>
      <c r="K29" s="728"/>
      <c r="L29" s="728"/>
      <c r="M29" s="728"/>
      <c r="N29" s="728"/>
      <c r="O29" s="728"/>
      <c r="P29" s="729">
        <f t="shared" si="11"/>
        <v>0</v>
      </c>
      <c r="Q29" s="728"/>
      <c r="R29" s="729">
        <f>277.58</f>
        <v>277.58</v>
      </c>
      <c r="S29" s="729">
        <f t="shared" si="12"/>
        <v>277.58</v>
      </c>
      <c r="T29" s="729">
        <f t="shared" si="13"/>
        <v>277.58</v>
      </c>
    </row>
    <row r="30" spans="1:20">
      <c r="A30" s="478" t="e" cm="1">
        <f t="array" ref="A30">INDEX('Master Mapping'!O:O, MATCH(TRUE, EXACT(TEXT(LEFT(TRIM(B30), 7), "@"), 'Master Mapping'!A:A), 0))</f>
        <v>#N/A</v>
      </c>
      <c r="B30" s="727" t="s">
        <v>541</v>
      </c>
      <c r="C30" s="730">
        <f>(C28)+(C29)</f>
        <v>0</v>
      </c>
      <c r="D30" s="730">
        <f>(D28)+(D29)</f>
        <v>0</v>
      </c>
      <c r="E30" s="730">
        <f t="shared" si="9"/>
        <v>0</v>
      </c>
      <c r="F30" s="730">
        <f>(F28)+(F29)</f>
        <v>0</v>
      </c>
      <c r="G30" s="730">
        <f>(G28)+(G29)</f>
        <v>0</v>
      </c>
      <c r="H30" s="730">
        <f t="shared" si="10"/>
        <v>0</v>
      </c>
      <c r="I30" s="730">
        <f t="shared" ref="I30:O30" si="15">(I28)+(I29)</f>
        <v>0</v>
      </c>
      <c r="J30" s="730">
        <f t="shared" si="15"/>
        <v>0</v>
      </c>
      <c r="K30" s="730">
        <f t="shared" si="15"/>
        <v>0</v>
      </c>
      <c r="L30" s="730">
        <f t="shared" si="15"/>
        <v>0</v>
      </c>
      <c r="M30" s="730">
        <f t="shared" si="15"/>
        <v>0</v>
      </c>
      <c r="N30" s="730">
        <f t="shared" si="15"/>
        <v>0</v>
      </c>
      <c r="O30" s="730">
        <f t="shared" si="15"/>
        <v>0</v>
      </c>
      <c r="P30" s="730">
        <f t="shared" si="11"/>
        <v>0</v>
      </c>
      <c r="Q30" s="730">
        <f>(Q28)+(Q29)</f>
        <v>0</v>
      </c>
      <c r="R30" s="730">
        <f>(R28)+(R29)</f>
        <v>277.58</v>
      </c>
      <c r="S30" s="730">
        <f t="shared" si="12"/>
        <v>277.58</v>
      </c>
      <c r="T30" s="730">
        <f t="shared" si="13"/>
        <v>277.58</v>
      </c>
    </row>
    <row r="31" spans="1:20">
      <c r="A31" s="478" t="e" cm="1">
        <f t="array" ref="A31">INDEX('Master Mapping'!O:O, MATCH(TRUE, EXACT(TEXT(LEFT(TRIM(B31), 7), "@"), 'Master Mapping'!A:A), 0))</f>
        <v>#N/A</v>
      </c>
      <c r="B31" s="727" t="s">
        <v>542</v>
      </c>
      <c r="C31" s="728"/>
      <c r="D31" s="728"/>
      <c r="E31" s="729">
        <f t="shared" si="9"/>
        <v>0</v>
      </c>
      <c r="F31" s="728"/>
      <c r="G31" s="728"/>
      <c r="H31" s="729">
        <f t="shared" si="10"/>
        <v>0</v>
      </c>
      <c r="I31" s="728"/>
      <c r="J31" s="728"/>
      <c r="K31" s="728"/>
      <c r="L31" s="728"/>
      <c r="M31" s="728"/>
      <c r="N31" s="728"/>
      <c r="O31" s="728"/>
      <c r="P31" s="729">
        <f t="shared" si="11"/>
        <v>0</v>
      </c>
      <c r="Q31" s="728"/>
      <c r="R31" s="728"/>
      <c r="S31" s="729">
        <f t="shared" si="12"/>
        <v>0</v>
      </c>
      <c r="T31" s="729">
        <f t="shared" si="13"/>
        <v>0</v>
      </c>
    </row>
    <row r="32" spans="1:20">
      <c r="A32" s="478" cm="1">
        <f t="array" ref="A32">INDEX('Master Mapping'!O:O, MATCH(TRUE, EXACT(TEXT(LEFT(TRIM(B32), 7), "@"), 'Master Mapping'!A:A), 0))</f>
        <v>21</v>
      </c>
      <c r="B32" s="727" t="s">
        <v>547</v>
      </c>
      <c r="C32" s="728"/>
      <c r="D32" s="728"/>
      <c r="E32" s="729">
        <f t="shared" si="9"/>
        <v>0</v>
      </c>
      <c r="F32" s="728"/>
      <c r="G32" s="728"/>
      <c r="H32" s="729">
        <f t="shared" si="10"/>
        <v>0</v>
      </c>
      <c r="I32" s="728"/>
      <c r="J32" s="728"/>
      <c r="K32" s="728"/>
      <c r="L32" s="728"/>
      <c r="M32" s="728"/>
      <c r="N32" s="728"/>
      <c r="O32" s="728"/>
      <c r="P32" s="729">
        <f t="shared" si="11"/>
        <v>0</v>
      </c>
      <c r="Q32" s="728"/>
      <c r="R32" s="729">
        <f>64778.92</f>
        <v>64778.92</v>
      </c>
      <c r="S32" s="729">
        <f t="shared" si="12"/>
        <v>64778.92</v>
      </c>
      <c r="T32" s="729">
        <f t="shared" si="13"/>
        <v>64778.92</v>
      </c>
    </row>
    <row r="33" spans="1:20">
      <c r="A33" s="478" t="e" cm="1">
        <f t="array" ref="A33">INDEX('Master Mapping'!O:O, MATCH(TRUE, EXACT(TEXT(LEFT(TRIM(B33), 7), "@"), 'Master Mapping'!A:A), 0))</f>
        <v>#N/A</v>
      </c>
      <c r="B33" s="727" t="s">
        <v>549</v>
      </c>
      <c r="C33" s="730">
        <f>(C31)+(C32)</f>
        <v>0</v>
      </c>
      <c r="D33" s="730">
        <f>(D31)+(D32)</f>
        <v>0</v>
      </c>
      <c r="E33" s="730">
        <f t="shared" si="9"/>
        <v>0</v>
      </c>
      <c r="F33" s="730">
        <f>(F31)+(F32)</f>
        <v>0</v>
      </c>
      <c r="G33" s="730">
        <f>(G31)+(G32)</f>
        <v>0</v>
      </c>
      <c r="H33" s="730">
        <f t="shared" si="10"/>
        <v>0</v>
      </c>
      <c r="I33" s="730">
        <f t="shared" ref="I33:O33" si="16">(I31)+(I32)</f>
        <v>0</v>
      </c>
      <c r="J33" s="730">
        <f t="shared" si="16"/>
        <v>0</v>
      </c>
      <c r="K33" s="730">
        <f t="shared" si="16"/>
        <v>0</v>
      </c>
      <c r="L33" s="730">
        <f t="shared" si="16"/>
        <v>0</v>
      </c>
      <c r="M33" s="730">
        <f t="shared" si="16"/>
        <v>0</v>
      </c>
      <c r="N33" s="730">
        <f t="shared" si="16"/>
        <v>0</v>
      </c>
      <c r="O33" s="730">
        <f t="shared" si="16"/>
        <v>0</v>
      </c>
      <c r="P33" s="730">
        <f t="shared" si="11"/>
        <v>0</v>
      </c>
      <c r="Q33" s="730">
        <f>(Q31)+(Q32)</f>
        <v>0</v>
      </c>
      <c r="R33" s="730">
        <f>(R31)+(R32)</f>
        <v>64778.92</v>
      </c>
      <c r="S33" s="730">
        <f t="shared" si="12"/>
        <v>64778.92</v>
      </c>
      <c r="T33" s="730">
        <f t="shared" si="13"/>
        <v>64778.92</v>
      </c>
    </row>
    <row r="34" spans="1:20">
      <c r="A34" s="478" t="e" cm="1">
        <f t="array" ref="A34">INDEX('Master Mapping'!O:O, MATCH(TRUE, EXACT(TEXT(LEFT(TRIM(B34), 7), "@"), 'Master Mapping'!A:A), 0))</f>
        <v>#N/A</v>
      </c>
      <c r="B34" s="727" t="s">
        <v>563</v>
      </c>
      <c r="C34" s="728"/>
      <c r="D34" s="728"/>
      <c r="E34" s="729">
        <f t="shared" si="9"/>
        <v>0</v>
      </c>
      <c r="F34" s="728"/>
      <c r="G34" s="728"/>
      <c r="H34" s="729">
        <f t="shared" si="10"/>
        <v>0</v>
      </c>
      <c r="I34" s="728"/>
      <c r="J34" s="728"/>
      <c r="K34" s="728"/>
      <c r="L34" s="728"/>
      <c r="M34" s="728"/>
      <c r="N34" s="728"/>
      <c r="O34" s="728"/>
      <c r="P34" s="729">
        <f t="shared" si="11"/>
        <v>0</v>
      </c>
      <c r="Q34" s="728"/>
      <c r="R34" s="728"/>
      <c r="S34" s="729">
        <f t="shared" si="12"/>
        <v>0</v>
      </c>
      <c r="T34" s="729">
        <f t="shared" si="13"/>
        <v>0</v>
      </c>
    </row>
    <row r="35" spans="1:20">
      <c r="A35" s="478" cm="1">
        <f t="array" ref="A35">INDEX('Master Mapping'!O:O, MATCH(TRUE, EXACT(TEXT(LEFT(TRIM(B35), 7), "@"), 'Master Mapping'!A:A), 0))</f>
        <v>26</v>
      </c>
      <c r="B35" s="727" t="s">
        <v>564</v>
      </c>
      <c r="C35" s="728"/>
      <c r="D35" s="728"/>
      <c r="E35" s="729">
        <f t="shared" si="9"/>
        <v>0</v>
      </c>
      <c r="F35" s="728"/>
      <c r="G35" s="729">
        <f>4348</f>
        <v>4348</v>
      </c>
      <c r="H35" s="729">
        <f t="shared" si="10"/>
        <v>4348</v>
      </c>
      <c r="I35" s="728"/>
      <c r="J35" s="728"/>
      <c r="K35" s="728"/>
      <c r="L35" s="728"/>
      <c r="M35" s="729">
        <f>25622</f>
        <v>25622</v>
      </c>
      <c r="N35" s="728"/>
      <c r="O35" s="728"/>
      <c r="P35" s="729">
        <f t="shared" si="11"/>
        <v>25622</v>
      </c>
      <c r="Q35" s="728"/>
      <c r="R35" s="728"/>
      <c r="S35" s="729">
        <f t="shared" si="12"/>
        <v>0</v>
      </c>
      <c r="T35" s="729">
        <f t="shared" si="13"/>
        <v>29970</v>
      </c>
    </row>
    <row r="36" spans="1:20">
      <c r="A36" s="478" t="e" cm="1">
        <f t="array" ref="A36">INDEX('Master Mapping'!O:O, MATCH(TRUE, EXACT(TEXT(LEFT(TRIM(B36), 7), "@"), 'Master Mapping'!A:A), 0))</f>
        <v>#N/A</v>
      </c>
      <c r="B36" s="727" t="s">
        <v>565</v>
      </c>
      <c r="C36" s="730">
        <f>(C34)+(C35)</f>
        <v>0</v>
      </c>
      <c r="D36" s="730">
        <f>(D34)+(D35)</f>
        <v>0</v>
      </c>
      <c r="E36" s="730">
        <f t="shared" si="9"/>
        <v>0</v>
      </c>
      <c r="F36" s="730">
        <f>(F34)+(F35)</f>
        <v>0</v>
      </c>
      <c r="G36" s="730">
        <f>(G34)+(G35)</f>
        <v>4348</v>
      </c>
      <c r="H36" s="730">
        <f t="shared" si="10"/>
        <v>4348</v>
      </c>
      <c r="I36" s="730">
        <f t="shared" ref="I36:O36" si="17">(I34)+(I35)</f>
        <v>0</v>
      </c>
      <c r="J36" s="730">
        <f t="shared" si="17"/>
        <v>0</v>
      </c>
      <c r="K36" s="730">
        <f t="shared" si="17"/>
        <v>0</v>
      </c>
      <c r="L36" s="730">
        <f t="shared" si="17"/>
        <v>0</v>
      </c>
      <c r="M36" s="730">
        <f t="shared" si="17"/>
        <v>25622</v>
      </c>
      <c r="N36" s="730">
        <f t="shared" si="17"/>
        <v>0</v>
      </c>
      <c r="O36" s="730">
        <f t="shared" si="17"/>
        <v>0</v>
      </c>
      <c r="P36" s="730">
        <f t="shared" si="11"/>
        <v>25622</v>
      </c>
      <c r="Q36" s="730">
        <f>(Q34)+(Q35)</f>
        <v>0</v>
      </c>
      <c r="R36" s="730">
        <f>(R34)+(R35)</f>
        <v>0</v>
      </c>
      <c r="S36" s="730">
        <f t="shared" si="12"/>
        <v>0</v>
      </c>
      <c r="T36" s="730">
        <f t="shared" si="13"/>
        <v>29970</v>
      </c>
    </row>
    <row r="37" spans="1:20">
      <c r="A37" s="478" t="e" cm="1">
        <f t="array" ref="A37">INDEX('Master Mapping'!O:O, MATCH(TRUE, EXACT(TEXT(LEFT(TRIM(B37), 7), "@"), 'Master Mapping'!A:A), 0))</f>
        <v>#N/A</v>
      </c>
      <c r="B37" s="727" t="s">
        <v>566</v>
      </c>
      <c r="C37" s="730">
        <f>(((C27)+(C30))+(C33))+(C36)</f>
        <v>0</v>
      </c>
      <c r="D37" s="730">
        <f>(((D27)+(D30))+(D33))+(D36)</f>
        <v>0</v>
      </c>
      <c r="E37" s="730">
        <f t="shared" si="9"/>
        <v>0</v>
      </c>
      <c r="F37" s="730">
        <f>(((F27)+(F30))+(F33))+(F36)</f>
        <v>0</v>
      </c>
      <c r="G37" s="730">
        <f>(((G27)+(G30))+(G33))+(G36)</f>
        <v>48880.81</v>
      </c>
      <c r="H37" s="730">
        <f t="shared" si="10"/>
        <v>48880.81</v>
      </c>
      <c r="I37" s="730">
        <f t="shared" ref="I37:O37" si="18">(((I27)+(I30))+(I33))+(I36)</f>
        <v>0</v>
      </c>
      <c r="J37" s="730">
        <f t="shared" si="18"/>
        <v>24778</v>
      </c>
      <c r="K37" s="730">
        <f t="shared" si="18"/>
        <v>33563.129999999997</v>
      </c>
      <c r="L37" s="730">
        <f t="shared" si="18"/>
        <v>0</v>
      </c>
      <c r="M37" s="730">
        <f t="shared" si="18"/>
        <v>256678.94</v>
      </c>
      <c r="N37" s="730">
        <f t="shared" si="18"/>
        <v>0</v>
      </c>
      <c r="O37" s="730">
        <f t="shared" si="18"/>
        <v>11642</v>
      </c>
      <c r="P37" s="730">
        <f t="shared" si="11"/>
        <v>326662.07</v>
      </c>
      <c r="Q37" s="730">
        <f>(((Q27)+(Q30))+(Q33))+(Q36)</f>
        <v>0</v>
      </c>
      <c r="R37" s="730">
        <f>(((R27)+(R30))+(R33))+(R36)</f>
        <v>65056.5</v>
      </c>
      <c r="S37" s="730">
        <f t="shared" si="12"/>
        <v>65056.5</v>
      </c>
      <c r="T37" s="730">
        <f t="shared" si="13"/>
        <v>440599.38</v>
      </c>
    </row>
    <row r="38" spans="1:20">
      <c r="A38" s="478" t="e" cm="1">
        <f t="array" ref="A38">INDEX('Master Mapping'!O:O, MATCH(TRUE, EXACT(TEXT(LEFT(TRIM(B38), 7), "@"), 'Master Mapping'!A:A), 0))</f>
        <v>#N/A</v>
      </c>
      <c r="B38" s="727" t="s">
        <v>567</v>
      </c>
      <c r="C38" s="730">
        <f>(C19)-(C37)</f>
        <v>0</v>
      </c>
      <c r="D38" s="730">
        <f>(D19)-(D37)</f>
        <v>3143</v>
      </c>
      <c r="E38" s="730">
        <f t="shared" si="9"/>
        <v>3143</v>
      </c>
      <c r="F38" s="730">
        <f>(F19)-(F37)</f>
        <v>0</v>
      </c>
      <c r="G38" s="730">
        <f>(G19)-(G37)</f>
        <v>29543.190000000002</v>
      </c>
      <c r="H38" s="730">
        <f t="shared" si="10"/>
        <v>29543.190000000002</v>
      </c>
      <c r="I38" s="730">
        <f t="shared" ref="I38:O38" si="19">(I19)-(I37)</f>
        <v>0</v>
      </c>
      <c r="J38" s="730">
        <f t="shared" si="19"/>
        <v>12993</v>
      </c>
      <c r="K38" s="730">
        <f t="shared" si="19"/>
        <v>29027.870000000003</v>
      </c>
      <c r="L38" s="730">
        <f t="shared" si="19"/>
        <v>3327</v>
      </c>
      <c r="M38" s="730">
        <f t="shared" si="19"/>
        <v>194499.06</v>
      </c>
      <c r="N38" s="730">
        <f t="shared" si="19"/>
        <v>4341</v>
      </c>
      <c r="O38" s="730">
        <f t="shared" si="19"/>
        <v>10696</v>
      </c>
      <c r="P38" s="730">
        <f t="shared" si="11"/>
        <v>254883.93</v>
      </c>
      <c r="Q38" s="730">
        <f>(Q19)-(Q37)</f>
        <v>0</v>
      </c>
      <c r="R38" s="730">
        <f>(R19)-(R37)</f>
        <v>41319.289999999994</v>
      </c>
      <c r="S38" s="730">
        <f t="shared" si="12"/>
        <v>41319.289999999994</v>
      </c>
      <c r="T38" s="730">
        <f t="shared" si="13"/>
        <v>328889.40999999997</v>
      </c>
    </row>
    <row r="39" spans="1:20">
      <c r="A39" s="478" t="e" cm="1">
        <f t="array" ref="A39">INDEX('Master Mapping'!O:O, MATCH(TRUE, EXACT(TEXT(LEFT(TRIM(B39), 7), "@"), 'Master Mapping'!A:A), 0))</f>
        <v>#N/A</v>
      </c>
      <c r="B39" s="727" t="s">
        <v>568</v>
      </c>
      <c r="C39" s="730">
        <f>(C38)+(0)</f>
        <v>0</v>
      </c>
      <c r="D39" s="730">
        <f>(D38)+(0)</f>
        <v>3143</v>
      </c>
      <c r="E39" s="730">
        <f t="shared" si="9"/>
        <v>3143</v>
      </c>
      <c r="F39" s="730">
        <f>(F38)+(0)</f>
        <v>0</v>
      </c>
      <c r="G39" s="730">
        <f>(G38)+(0)</f>
        <v>29543.190000000002</v>
      </c>
      <c r="H39" s="730">
        <f t="shared" si="10"/>
        <v>29543.190000000002</v>
      </c>
      <c r="I39" s="730">
        <f t="shared" ref="I39:O39" si="20">(I38)+(0)</f>
        <v>0</v>
      </c>
      <c r="J39" s="730">
        <f t="shared" si="20"/>
        <v>12993</v>
      </c>
      <c r="K39" s="730">
        <f t="shared" si="20"/>
        <v>29027.870000000003</v>
      </c>
      <c r="L39" s="730">
        <f t="shared" si="20"/>
        <v>3327</v>
      </c>
      <c r="M39" s="730">
        <f t="shared" si="20"/>
        <v>194499.06</v>
      </c>
      <c r="N39" s="730">
        <f t="shared" si="20"/>
        <v>4341</v>
      </c>
      <c r="O39" s="730">
        <f t="shared" si="20"/>
        <v>10696</v>
      </c>
      <c r="P39" s="730">
        <f t="shared" si="11"/>
        <v>254883.93</v>
      </c>
      <c r="Q39" s="730">
        <f>(Q38)+(0)</f>
        <v>0</v>
      </c>
      <c r="R39" s="730">
        <f>(R38)+(0)</f>
        <v>41319.289999999994</v>
      </c>
      <c r="S39" s="730">
        <f t="shared" si="12"/>
        <v>41319.289999999994</v>
      </c>
      <c r="T39" s="730">
        <f t="shared" si="13"/>
        <v>328889.40999999997</v>
      </c>
    </row>
    <row r="40" spans="1:20">
      <c r="B40" s="727"/>
      <c r="C40" s="728"/>
      <c r="D40" s="728"/>
      <c r="E40" s="728"/>
      <c r="F40" s="728"/>
      <c r="G40" s="728"/>
      <c r="H40" s="728"/>
      <c r="I40" s="728"/>
      <c r="J40" s="728"/>
      <c r="K40" s="728"/>
      <c r="L40" s="728"/>
      <c r="M40" s="728"/>
      <c r="N40" s="728"/>
      <c r="O40" s="728"/>
      <c r="P40" s="728"/>
      <c r="Q40" s="728"/>
      <c r="R40" s="728"/>
      <c r="S40" s="728"/>
      <c r="T40" s="728"/>
    </row>
    <row r="43" spans="1:20">
      <c r="B43" s="769" t="s">
        <v>4374</v>
      </c>
      <c r="C43" s="767"/>
      <c r="D43" s="767"/>
      <c r="E43" s="767"/>
      <c r="F43" s="767"/>
      <c r="G43" s="767"/>
      <c r="H43" s="767"/>
      <c r="I43" s="767"/>
      <c r="J43" s="767"/>
      <c r="K43" s="767"/>
      <c r="L43" s="767"/>
      <c r="M43" s="767"/>
      <c r="N43" s="767"/>
      <c r="O43" s="767"/>
      <c r="P43" s="767"/>
      <c r="Q43" s="767"/>
      <c r="R43" s="767"/>
      <c r="S43" s="767"/>
      <c r="T43" s="767"/>
    </row>
  </sheetData>
  <mergeCells count="4">
    <mergeCell ref="B1:T1"/>
    <mergeCell ref="B2:T2"/>
    <mergeCell ref="B3:T3"/>
    <mergeCell ref="B43:T4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2AFFD-8742-415F-8C09-EBCD744583A3}">
  <dimension ref="A1:E151"/>
  <sheetViews>
    <sheetView workbookViewId="0">
      <selection activeCell="B27" sqref="B27"/>
    </sheetView>
  </sheetViews>
  <sheetFormatPr defaultRowHeight="15.5"/>
  <cols>
    <col min="2" max="2" width="10.07421875" bestFit="1" customWidth="1"/>
    <col min="3" max="3" width="9" bestFit="1" customWidth="1"/>
    <col min="4" max="4" width="51.4609375" customWidth="1"/>
    <col min="5" max="5" width="18" customWidth="1"/>
  </cols>
  <sheetData>
    <row r="1" spans="1:5" ht="18">
      <c r="A1" s="724" t="s">
        <v>4287</v>
      </c>
      <c r="B1" s="724" t="s">
        <v>587</v>
      </c>
      <c r="C1" s="724" t="s">
        <v>588</v>
      </c>
      <c r="D1" s="766" t="s">
        <v>4288</v>
      </c>
      <c r="E1" s="767"/>
    </row>
    <row r="2" spans="1:5" ht="18">
      <c r="A2" s="478"/>
      <c r="B2" s="478"/>
      <c r="C2" s="478"/>
      <c r="D2" s="766" t="s">
        <v>4289</v>
      </c>
      <c r="E2" s="767"/>
    </row>
    <row r="3" spans="1:5">
      <c r="A3" s="478"/>
      <c r="B3" s="478"/>
      <c r="C3" s="478"/>
      <c r="D3" s="768" t="s">
        <v>4290</v>
      </c>
      <c r="E3" s="767"/>
    </row>
    <row r="4" spans="1:5">
      <c r="A4" s="478"/>
      <c r="B4" s="478"/>
      <c r="C4" s="478"/>
    </row>
    <row r="5" spans="1:5">
      <c r="A5" s="478"/>
      <c r="B5" s="478"/>
      <c r="C5" s="478"/>
      <c r="D5" s="725"/>
      <c r="E5" s="726" t="s">
        <v>4291</v>
      </c>
    </row>
    <row r="6" spans="1:5">
      <c r="A6" s="478"/>
      <c r="B6" s="478"/>
      <c r="C6" s="478"/>
      <c r="D6" s="727" t="s">
        <v>441</v>
      </c>
      <c r="E6" s="728"/>
    </row>
    <row r="7" spans="1:5">
      <c r="A7" s="478"/>
      <c r="B7" s="731"/>
      <c r="C7" s="731"/>
      <c r="D7" s="727" t="s">
        <v>442</v>
      </c>
      <c r="E7" s="728"/>
    </row>
    <row r="8" spans="1:5">
      <c r="A8" s="478" cm="1">
        <f t="array" ref="A8">INDEX('Master Mapping'!O:O, MATCH(TRUE, EXACT(TEXT(LEFT(TRIM(D8), 7), "@"), 'Master Mapping'!A:A), 0))</f>
        <v>1</v>
      </c>
      <c r="B8" s="731">
        <f>E8-C8</f>
        <v>687606</v>
      </c>
      <c r="C8" s="731">
        <f>IFERROR(INDEX('P&amp;L SR 1'!A:ZZ, MATCH(D8, 'P&amp;L SR 1'!B:B, 0), MATCH("TOTAL", 'P&amp;L SR 1'!$5:$5, 0)), 0)</f>
        <v>0</v>
      </c>
      <c r="D8" s="727" t="s">
        <v>265</v>
      </c>
      <c r="E8" s="729">
        <f>687606</f>
        <v>687606</v>
      </c>
    </row>
    <row r="9" spans="1:5">
      <c r="A9" s="478" cm="1">
        <f t="array" ref="A9">INDEX('Master Mapping'!O:O, MATCH(TRUE, EXACT(TEXT(LEFT(TRIM(D9), 7), "@"), 'Master Mapping'!A:A), 0))</f>
        <v>1</v>
      </c>
      <c r="B9" s="731">
        <f t="shared" ref="B9:B72" si="0">E9-C9</f>
        <v>81.77</v>
      </c>
      <c r="C9" s="731">
        <f>IFERROR(INDEX('P&amp;L SR 1'!A:ZZ, MATCH(D9, 'P&amp;L SR 1'!B:B, 0), MATCH("TOTAL", 'P&amp;L SR 1'!$5:$5, 0)), 0)</f>
        <v>0</v>
      </c>
      <c r="D9" s="727" t="s">
        <v>443</v>
      </c>
      <c r="E9" s="729">
        <f>81.77</f>
        <v>81.77</v>
      </c>
    </row>
    <row r="10" spans="1:5">
      <c r="A10" s="478" t="e" cm="1">
        <f t="array" ref="A10">INDEX('Master Mapping'!O:O, MATCH(TRUE, EXACT(TEXT(LEFT(TRIM(D10), 7), "@"), 'Master Mapping'!A:A), 0))</f>
        <v>#N/A</v>
      </c>
      <c r="B10" s="731">
        <f t="shared" si="0"/>
        <v>687687.77</v>
      </c>
      <c r="C10" s="731">
        <f>IFERROR(INDEX('P&amp;L SR 1'!A:ZZ, MATCH(D10, 'P&amp;L SR 1'!B:B, 0), MATCH("TOTAL", 'P&amp;L SR 1'!$5:$5, 0)), 0)</f>
        <v>0</v>
      </c>
      <c r="D10" s="727" t="s">
        <v>444</v>
      </c>
      <c r="E10" s="730">
        <f>((E7)+(E8))+(E9)</f>
        <v>687687.77</v>
      </c>
    </row>
    <row r="11" spans="1:5">
      <c r="A11" s="478" t="e" cm="1">
        <f t="array" ref="A11">INDEX('Master Mapping'!O:O, MATCH(TRUE, EXACT(TEXT(LEFT(TRIM(D11), 7), "@"), 'Master Mapping'!A:A), 0))</f>
        <v>#N/A</v>
      </c>
      <c r="B11" s="731">
        <f t="shared" si="0"/>
        <v>0</v>
      </c>
      <c r="C11" s="731">
        <f>IFERROR(INDEX('P&amp;L SR 1'!A:ZZ, MATCH(D11, 'P&amp;L SR 1'!B:B, 0), MATCH("TOTAL", 'P&amp;L SR 1'!$5:$5, 0)), 0)</f>
        <v>0</v>
      </c>
      <c r="D11" s="727" t="s">
        <v>445</v>
      </c>
      <c r="E11" s="728"/>
    </row>
    <row r="12" spans="1:5">
      <c r="A12" s="478" cm="1">
        <f t="array" ref="A12">INDEX('Master Mapping'!O:O, MATCH(TRUE, EXACT(TEXT(LEFT(TRIM(D12), 7), "@"), 'Master Mapping'!A:A), 0))</f>
        <v>3</v>
      </c>
      <c r="B12" s="731">
        <f t="shared" si="0"/>
        <v>400974</v>
      </c>
      <c r="C12" s="731">
        <f>IFERROR(INDEX('P&amp;L SR 1'!A:ZZ, MATCH(D12, 'P&amp;L SR 1'!B:B, 0), MATCH("TOTAL", 'P&amp;L SR 1'!$5:$5, 0)), 0)</f>
        <v>0</v>
      </c>
      <c r="D12" s="727" t="s">
        <v>266</v>
      </c>
      <c r="E12" s="729">
        <f>400974</f>
        <v>400974</v>
      </c>
    </row>
    <row r="13" spans="1:5">
      <c r="A13" s="478" cm="1">
        <f t="array" ref="A13">INDEX('Master Mapping'!O:O, MATCH(TRUE, EXACT(TEXT(LEFT(TRIM(D13), 7), "@"), 'Master Mapping'!A:A), 0))</f>
        <v>2</v>
      </c>
      <c r="B13" s="731">
        <f t="shared" si="0"/>
        <v>91928</v>
      </c>
      <c r="C13" s="731">
        <f>IFERROR(INDEX('P&amp;L SR 1'!A:ZZ, MATCH(D13, 'P&amp;L SR 1'!B:B, 0), MATCH("TOTAL", 'P&amp;L SR 1'!$5:$5, 0)), 0)</f>
        <v>0</v>
      </c>
      <c r="D13" s="727" t="s">
        <v>446</v>
      </c>
      <c r="E13" s="729">
        <f>91928</f>
        <v>91928</v>
      </c>
    </row>
    <row r="14" spans="1:5">
      <c r="A14" s="478" t="e" cm="1">
        <f t="array" ref="A14">INDEX('Master Mapping'!O:O, MATCH(TRUE, EXACT(TEXT(LEFT(TRIM(D14), 7), "@"), 'Master Mapping'!A:A), 0))</f>
        <v>#N/A</v>
      </c>
      <c r="B14" s="731">
        <f t="shared" si="0"/>
        <v>492902</v>
      </c>
      <c r="C14" s="731">
        <f>IFERROR(INDEX('P&amp;L SR 1'!A:ZZ, MATCH(D14, 'P&amp;L SR 1'!B:B, 0), MATCH("TOTAL", 'P&amp;L SR 1'!$5:$5, 0)), 0)</f>
        <v>0</v>
      </c>
      <c r="D14" s="727" t="s">
        <v>447</v>
      </c>
      <c r="E14" s="730">
        <f>((E11)+(E12))+(E13)</f>
        <v>492902</v>
      </c>
    </row>
    <row r="15" spans="1:5">
      <c r="A15" s="478" t="e" cm="1">
        <f t="array" ref="A15">INDEX('Master Mapping'!O:O, MATCH(TRUE, EXACT(TEXT(LEFT(TRIM(D15), 7), "@"), 'Master Mapping'!A:A), 0))</f>
        <v>#N/A</v>
      </c>
      <c r="B15" s="731">
        <f t="shared" si="0"/>
        <v>0</v>
      </c>
      <c r="C15" s="731">
        <f>IFERROR(INDEX('P&amp;L SR 1'!A:ZZ, MATCH(D15, 'P&amp;L SR 1'!B:B, 0), MATCH("TOTAL", 'P&amp;L SR 1'!$5:$5, 0)), 0)</f>
        <v>0</v>
      </c>
      <c r="D15" s="727" t="s">
        <v>448</v>
      </c>
      <c r="E15" s="728"/>
    </row>
    <row r="16" spans="1:5">
      <c r="A16" s="478" cm="1">
        <f t="array" ref="A16">INDEX('Master Mapping'!O:O, MATCH(TRUE, EXACT(TEXT(LEFT(TRIM(D16), 7), "@"), 'Master Mapping'!A:A), 0))</f>
        <v>5</v>
      </c>
      <c r="B16" s="731">
        <f t="shared" si="0"/>
        <v>0</v>
      </c>
      <c r="C16" s="731">
        <f>IFERROR(INDEX('P&amp;L SR 1'!A:ZZ, MATCH(D16, 'P&amp;L SR 1'!B:B, 0), MATCH("TOTAL", 'P&amp;L SR 1'!$5:$5, 0)), 0)</f>
        <v>114873.3</v>
      </c>
      <c r="D16" s="727" t="s">
        <v>449</v>
      </c>
      <c r="E16" s="729">
        <f>114873.3</f>
        <v>114873.3</v>
      </c>
    </row>
    <row r="17" spans="1:5">
      <c r="A17" s="478" cm="1">
        <f t="array" ref="A17">INDEX('Master Mapping'!O:O, MATCH(TRUE, EXACT(TEXT(LEFT(TRIM(D17), 7), "@"), 'Master Mapping'!A:A), 0))</f>
        <v>5</v>
      </c>
      <c r="B17" s="731">
        <f t="shared" si="0"/>
        <v>0</v>
      </c>
      <c r="C17" s="731">
        <f>IFERROR(INDEX('P&amp;L SR 1'!A:ZZ, MATCH(D17, 'P&amp;L SR 1'!B:B, 0), MATCH("TOTAL", 'P&amp;L SR 1'!$5:$5, 0)), 0)</f>
        <v>15166</v>
      </c>
      <c r="D17" s="727" t="s">
        <v>268</v>
      </c>
      <c r="E17" s="729">
        <f>15166</f>
        <v>15166</v>
      </c>
    </row>
    <row r="18" spans="1:5">
      <c r="A18" s="478" cm="1">
        <f t="array" ref="A18">INDEX('Master Mapping'!O:O, MATCH(TRUE, EXACT(TEXT(LEFT(TRIM(D18), 7), "@"), 'Master Mapping'!A:A), 0))</f>
        <v>5</v>
      </c>
      <c r="B18" s="731">
        <f t="shared" si="0"/>
        <v>0</v>
      </c>
      <c r="C18" s="731">
        <f>IFERROR(INDEX('P&amp;L SR 1'!A:ZZ, MATCH(D18, 'P&amp;L SR 1'!B:B, 0), MATCH("TOTAL", 'P&amp;L SR 1'!$5:$5, 0)), 0)</f>
        <v>565</v>
      </c>
      <c r="D18" s="727" t="s">
        <v>269</v>
      </c>
      <c r="E18" s="729">
        <f>565</f>
        <v>565</v>
      </c>
    </row>
    <row r="19" spans="1:5">
      <c r="A19" s="478" cm="1">
        <f t="array" ref="A19">INDEX('Master Mapping'!O:O, MATCH(TRUE, EXACT(TEXT(LEFT(TRIM(D19), 7), "@"), 'Master Mapping'!A:A), 0))</f>
        <v>5</v>
      </c>
      <c r="B19" s="731">
        <f t="shared" si="0"/>
        <v>0</v>
      </c>
      <c r="C19" s="731">
        <f>IFERROR(INDEX('P&amp;L SR 1'!A:ZZ, MATCH(D19, 'P&amp;L SR 1'!B:B, 0), MATCH("TOTAL", 'P&amp;L SR 1'!$5:$5, 0)), 0)</f>
        <v>48633</v>
      </c>
      <c r="D19" s="727" t="s">
        <v>450</v>
      </c>
      <c r="E19" s="729">
        <f>48633</f>
        <v>48633</v>
      </c>
    </row>
    <row r="20" spans="1:5">
      <c r="A20" s="478" cm="1">
        <f t="array" ref="A20">INDEX('Master Mapping'!O:O, MATCH(TRUE, EXACT(TEXT(LEFT(TRIM(D20), 7), "@"), 'Master Mapping'!A:A), 0))</f>
        <v>5</v>
      </c>
      <c r="B20" s="731">
        <f t="shared" si="0"/>
        <v>0</v>
      </c>
      <c r="C20" s="731">
        <f>IFERROR(INDEX('P&amp;L SR 1'!A:ZZ, MATCH(D20, 'P&amp;L SR 1'!B:B, 0), MATCH("TOTAL", 'P&amp;L SR 1'!$5:$5, 0)), 0)</f>
        <v>4704</v>
      </c>
      <c r="D20" s="727" t="s">
        <v>451</v>
      </c>
      <c r="E20" s="729">
        <f>4704</f>
        <v>4704</v>
      </c>
    </row>
    <row r="21" spans="1:5">
      <c r="A21" s="478" cm="1">
        <f t="array" ref="A21">INDEX('Master Mapping'!O:O, MATCH(TRUE, EXACT(TEXT(LEFT(TRIM(D21), 7), "@"), 'Master Mapping'!A:A), 0))</f>
        <v>5</v>
      </c>
      <c r="B21" s="731">
        <f t="shared" si="0"/>
        <v>0</v>
      </c>
      <c r="C21" s="731">
        <f>IFERROR(INDEX('P&amp;L SR 1'!A:ZZ, MATCH(D21, 'P&amp;L SR 1'!B:B, 0), MATCH("TOTAL", 'P&amp;L SR 1'!$5:$5, 0)), 0)</f>
        <v>11219</v>
      </c>
      <c r="D21" s="727" t="s">
        <v>278</v>
      </c>
      <c r="E21" s="729">
        <f>11219</f>
        <v>11219</v>
      </c>
    </row>
    <row r="22" spans="1:5">
      <c r="A22" s="478" cm="1">
        <f t="array" ref="A22">INDEX('Master Mapping'!O:O, MATCH(TRUE, EXACT(TEXT(LEFT(TRIM(D22), 7), "@"), 'Master Mapping'!A:A), 0))</f>
        <v>5</v>
      </c>
      <c r="B22" s="731">
        <f t="shared" si="0"/>
        <v>0</v>
      </c>
      <c r="C22" s="731">
        <f>IFERROR(INDEX('P&amp;L SR 1'!A:ZZ, MATCH(D22, 'P&amp;L SR 1'!B:B, 0), MATCH("TOTAL", 'P&amp;L SR 1'!$5:$5, 0)), 0)</f>
        <v>28741</v>
      </c>
      <c r="D22" s="727" t="s">
        <v>730</v>
      </c>
      <c r="E22" s="729">
        <f>28741</f>
        <v>28741</v>
      </c>
    </row>
    <row r="23" spans="1:5">
      <c r="A23" s="478" cm="1">
        <f t="array" ref="A23">INDEX('Master Mapping'!O:O, MATCH(TRUE, EXACT(TEXT(LEFT(TRIM(D23), 7), "@"), 'Master Mapping'!A:A), 0))</f>
        <v>5</v>
      </c>
      <c r="B23" s="731">
        <f t="shared" si="0"/>
        <v>0</v>
      </c>
      <c r="C23" s="731">
        <f>IFERROR(INDEX('P&amp;L SR 1'!A:ZZ, MATCH(D23, 'P&amp;L SR 1'!B:B, 0), MATCH("TOTAL", 'P&amp;L SR 1'!$5:$5, 0)), 0)</f>
        <v>604703</v>
      </c>
      <c r="D23" s="727" t="s">
        <v>452</v>
      </c>
      <c r="E23" s="729">
        <f>604703</f>
        <v>604703</v>
      </c>
    </row>
    <row r="24" spans="1:5">
      <c r="A24" s="478" t="e" cm="1">
        <f t="array" ref="A24">INDEX('Master Mapping'!O:O, MATCH(TRUE, EXACT(TEXT(LEFT(TRIM(D24), 7), "@"), 'Master Mapping'!A:A), 0))</f>
        <v>#N/A</v>
      </c>
      <c r="B24" s="731">
        <f t="shared" si="0"/>
        <v>0</v>
      </c>
      <c r="C24" s="731">
        <f>IFERROR(INDEX('P&amp;L SR 1'!A:ZZ, MATCH(D24, 'P&amp;L SR 1'!B:B, 0), MATCH("TOTAL", 'P&amp;L SR 1'!$5:$5, 0)), 0)</f>
        <v>828604.3</v>
      </c>
      <c r="D24" s="727" t="s">
        <v>453</v>
      </c>
      <c r="E24" s="730">
        <f>((((((((E15)+(E16))+(E17))+(E18))+(E19))+(E20))+(E21))+(E22))+(E23)</f>
        <v>828604.3</v>
      </c>
    </row>
    <row r="25" spans="1:5">
      <c r="A25" s="478" cm="1">
        <f t="array" ref="A25">INDEX('Master Mapping'!O:O, MATCH(TRUE, EXACT(TEXT(LEFT(TRIM(D25), 7), "@"), 'Master Mapping'!A:A), 0))</f>
        <v>1</v>
      </c>
      <c r="B25" s="731">
        <f t="shared" si="0"/>
        <v>315.79000000000002</v>
      </c>
      <c r="C25" s="731">
        <f>IFERROR(INDEX('P&amp;L SR 1'!A:ZZ, MATCH(D25, 'P&amp;L SR 1'!B:B, 0), MATCH("TOTAL", 'P&amp;L SR 1'!$5:$5, 0)), 0)</f>
        <v>0</v>
      </c>
      <c r="D25" s="727" t="s">
        <v>4292</v>
      </c>
      <c r="E25" s="729">
        <f>315.79</f>
        <v>315.79000000000002</v>
      </c>
    </row>
    <row r="26" spans="1:5">
      <c r="A26" s="478" t="e" cm="1">
        <f t="array" ref="A26">INDEX('Master Mapping'!O:O, MATCH(TRUE, EXACT(TEXT(LEFT(TRIM(D26), 7), "@"), 'Master Mapping'!A:A), 0))</f>
        <v>#N/A</v>
      </c>
      <c r="B26" s="731">
        <f t="shared" si="0"/>
        <v>1180905.56</v>
      </c>
      <c r="C26" s="731">
        <f>IFERROR(INDEX('P&amp;L SR 1'!A:ZZ, MATCH(D26, 'P&amp;L SR 1'!B:B, 0), MATCH("TOTAL", 'P&amp;L SR 1'!$5:$5, 0)), 0)</f>
        <v>828604.3</v>
      </c>
      <c r="D26" s="727" t="s">
        <v>454</v>
      </c>
      <c r="E26" s="730">
        <f>(((E10)+(E14))+(E24))+(E25)</f>
        <v>2009509.86</v>
      </c>
    </row>
    <row r="27" spans="1:5">
      <c r="A27" s="478" t="e" cm="1">
        <f t="array" ref="A27">INDEX('Master Mapping'!O:O, MATCH(TRUE, EXACT(TEXT(LEFT(TRIM(D27), 7), "@"), 'Master Mapping'!A:A), 0))</f>
        <v>#N/A</v>
      </c>
      <c r="B27" s="731">
        <f t="shared" si="0"/>
        <v>1180905.56</v>
      </c>
      <c r="C27" s="731">
        <f>IFERROR(INDEX('P&amp;L SR 1'!A:ZZ, MATCH(D27, 'P&amp;L SR 1'!B:B, 0), MATCH("TOTAL", 'P&amp;L SR 1'!$5:$5, 0)), 0)</f>
        <v>828604.3</v>
      </c>
      <c r="D27" s="727" t="s">
        <v>270</v>
      </c>
      <c r="E27" s="730">
        <f>(E26)-(0)</f>
        <v>2009509.86</v>
      </c>
    </row>
    <row r="28" spans="1:5">
      <c r="A28" s="478" t="e" cm="1">
        <f t="array" ref="A28">INDEX('Master Mapping'!O:O, MATCH(TRUE, EXACT(TEXT(LEFT(TRIM(D28), 7), "@"), 'Master Mapping'!A:A), 0))</f>
        <v>#N/A</v>
      </c>
      <c r="B28" s="731">
        <f t="shared" si="0"/>
        <v>0</v>
      </c>
      <c r="C28" s="731">
        <f>IFERROR(INDEX('P&amp;L SR 1'!A:ZZ, MATCH(D28, 'P&amp;L SR 1'!B:B, 0), MATCH("TOTAL", 'P&amp;L SR 1'!$5:$5, 0)), 0)</f>
        <v>0</v>
      </c>
      <c r="D28" s="727" t="s">
        <v>243</v>
      </c>
      <c r="E28" s="728"/>
    </row>
    <row r="29" spans="1:5">
      <c r="A29" s="478" t="e" cm="1">
        <f t="array" ref="A29">INDEX('Master Mapping'!O:O, MATCH(TRUE, EXACT(TEXT(LEFT(TRIM(D29), 7), "@"), 'Master Mapping'!A:A), 0))</f>
        <v>#N/A</v>
      </c>
      <c r="B29" s="731">
        <f t="shared" si="0"/>
        <v>0</v>
      </c>
      <c r="C29" s="731">
        <f>IFERROR(INDEX('P&amp;L SR 1'!A:ZZ, MATCH(D29, 'P&amp;L SR 1'!B:B, 0), MATCH("TOTAL", 'P&amp;L SR 1'!$5:$5, 0)), 0)</f>
        <v>0</v>
      </c>
      <c r="D29" s="727" t="s">
        <v>455</v>
      </c>
      <c r="E29" s="728"/>
    </row>
    <row r="30" spans="1:5">
      <c r="A30" s="478" cm="1">
        <f t="array" ref="A30">INDEX('Master Mapping'!O:O, MATCH(TRUE, EXACT(TEXT(LEFT(TRIM(D30), 7), "@"), 'Master Mapping'!A:A), 0))</f>
        <v>13</v>
      </c>
      <c r="B30" s="731">
        <f t="shared" si="0"/>
        <v>18687.919999999998</v>
      </c>
      <c r="C30" s="731">
        <f>IFERROR(INDEX('P&amp;L SR 1'!A:ZZ, MATCH(D30, 'P&amp;L SR 1'!B:B, 0), MATCH("TOTAL", 'P&amp;L SR 1'!$5:$5, 0)), 0)</f>
        <v>0</v>
      </c>
      <c r="D30" s="727" t="s">
        <v>456</v>
      </c>
      <c r="E30" s="729">
        <f>18687.92</f>
        <v>18687.919999999998</v>
      </c>
    </row>
    <row r="31" spans="1:5">
      <c r="A31" s="478" cm="1">
        <f t="array" ref="A31">INDEX('Master Mapping'!O:O, MATCH(TRUE, EXACT(TEXT(LEFT(TRIM(D31), 7), "@"), 'Master Mapping'!A:A), 0))</f>
        <v>16</v>
      </c>
      <c r="B31" s="731">
        <f t="shared" si="0"/>
        <v>165146.26999999999</v>
      </c>
      <c r="C31" s="731">
        <f>IFERROR(INDEX('P&amp;L SR 1'!A:ZZ, MATCH(D31, 'P&amp;L SR 1'!B:B, 0), MATCH("TOTAL", 'P&amp;L SR 1'!$5:$5, 0)), 0)</f>
        <v>3004.31</v>
      </c>
      <c r="D31" s="727" t="s">
        <v>457</v>
      </c>
      <c r="E31" s="729">
        <f>168150.58</f>
        <v>168150.58</v>
      </c>
    </row>
    <row r="32" spans="1:5">
      <c r="A32" s="478" cm="1">
        <f t="array" ref="A32">INDEX('Master Mapping'!O:O, MATCH(TRUE, EXACT(TEXT(LEFT(TRIM(D32), 7), "@"), 'Master Mapping'!A:A), 0))</f>
        <v>16</v>
      </c>
      <c r="B32" s="731">
        <f t="shared" si="0"/>
        <v>48263.88</v>
      </c>
      <c r="C32" s="731">
        <f>IFERROR(INDEX('P&amp;L SR 1'!A:ZZ, MATCH(D32, 'P&amp;L SR 1'!B:B, 0), MATCH("TOTAL", 'P&amp;L SR 1'!$5:$5, 0)), 0)</f>
        <v>0</v>
      </c>
      <c r="D32" s="727" t="s">
        <v>458</v>
      </c>
      <c r="E32" s="729">
        <f>48263.88</f>
        <v>48263.88</v>
      </c>
    </row>
    <row r="33" spans="1:5">
      <c r="A33" s="478" cm="1">
        <f t="array" ref="A33">INDEX('Master Mapping'!O:O, MATCH(TRUE, EXACT(TEXT(LEFT(TRIM(D33), 7), "@"), 'Master Mapping'!A:A), 0))</f>
        <v>16</v>
      </c>
      <c r="B33" s="731">
        <f t="shared" si="0"/>
        <v>41483.629999999997</v>
      </c>
      <c r="C33" s="731">
        <f>IFERROR(INDEX('P&amp;L SR 1'!A:ZZ, MATCH(D33, 'P&amp;L SR 1'!B:B, 0), MATCH("TOTAL", 'P&amp;L SR 1'!$5:$5, 0)), 0)</f>
        <v>0</v>
      </c>
      <c r="D33" s="727" t="s">
        <v>459</v>
      </c>
      <c r="E33" s="729">
        <f>41483.63</f>
        <v>41483.629999999997</v>
      </c>
    </row>
    <row r="34" spans="1:5">
      <c r="A34" s="478" cm="1">
        <f t="array" ref="A34">INDEX('Master Mapping'!O:O, MATCH(TRUE, EXACT(TEXT(LEFT(TRIM(D34), 7), "@"), 'Master Mapping'!A:A), 0))</f>
        <v>7</v>
      </c>
      <c r="B34" s="731">
        <f t="shared" si="0"/>
        <v>362562.07000000007</v>
      </c>
      <c r="C34" s="731">
        <f>IFERROR(INDEX('P&amp;L SR 1'!A:ZZ, MATCH(D34, 'P&amp;L SR 1'!B:B, 0), MATCH("TOTAL", 'P&amp;L SR 1'!$5:$5, 0)), 0)</f>
        <v>135248.32999999999</v>
      </c>
      <c r="D34" s="727" t="s">
        <v>460</v>
      </c>
      <c r="E34" s="729">
        <f>497810.4</f>
        <v>497810.4</v>
      </c>
    </row>
    <row r="35" spans="1:5">
      <c r="A35" s="478" cm="1">
        <f t="array" ref="A35">INDEX('Master Mapping'!O:O, MATCH(TRUE, EXACT(TEXT(LEFT(TRIM(D35), 7), "@"), 'Master Mapping'!A:A), 0))</f>
        <v>8</v>
      </c>
      <c r="B35" s="731">
        <f t="shared" si="0"/>
        <v>84117.32</v>
      </c>
      <c r="C35" s="731">
        <f>IFERROR(INDEX('P&amp;L SR 1'!A:ZZ, MATCH(D35, 'P&amp;L SR 1'!B:B, 0), MATCH("TOTAL", 'P&amp;L SR 1'!$5:$5, 0)), 0)</f>
        <v>25415.95</v>
      </c>
      <c r="D35" s="727" t="s">
        <v>461</v>
      </c>
      <c r="E35" s="729">
        <f>109533.27</f>
        <v>109533.27</v>
      </c>
    </row>
    <row r="36" spans="1:5">
      <c r="A36" s="478" cm="1">
        <f t="array" ref="A36">INDEX('Master Mapping'!O:O, MATCH(TRUE, EXACT(TEXT(LEFT(TRIM(D36), 7), "@"), 'Master Mapping'!A:A), 0))</f>
        <v>11</v>
      </c>
      <c r="B36" s="731">
        <f t="shared" si="0"/>
        <v>1471.13</v>
      </c>
      <c r="C36" s="731">
        <f>IFERROR(INDEX('P&amp;L SR 1'!A:ZZ, MATCH(D36, 'P&amp;L SR 1'!B:B, 0), MATCH("TOTAL", 'P&amp;L SR 1'!$5:$5, 0)), 0)</f>
        <v>0</v>
      </c>
      <c r="D36" s="727" t="s">
        <v>4293</v>
      </c>
      <c r="E36" s="729">
        <f>1471.13</f>
        <v>1471.13</v>
      </c>
    </row>
    <row r="37" spans="1:5">
      <c r="A37" s="478" cm="1">
        <f t="array" ref="A37">INDEX('Master Mapping'!O:O, MATCH(TRUE, EXACT(TEXT(LEFT(TRIM(D37), 7), "@"), 'Master Mapping'!A:A), 0))</f>
        <v>13</v>
      </c>
      <c r="B37" s="731">
        <f t="shared" si="0"/>
        <v>35500.51</v>
      </c>
      <c r="C37" s="731">
        <f>IFERROR(INDEX('P&amp;L SR 1'!A:ZZ, MATCH(D37, 'P&amp;L SR 1'!B:B, 0), MATCH("TOTAL", 'P&amp;L SR 1'!$5:$5, 0)), 0)</f>
        <v>0</v>
      </c>
      <c r="D37" s="727" t="s">
        <v>462</v>
      </c>
      <c r="E37" s="729">
        <f>35500.51</f>
        <v>35500.51</v>
      </c>
    </row>
    <row r="38" spans="1:5">
      <c r="A38" s="478" cm="1">
        <f t="array" ref="A38">INDEX('Master Mapping'!O:O, MATCH(TRUE, EXACT(TEXT(LEFT(TRIM(D38), 7), "@"), 'Master Mapping'!A:A), 0))</f>
        <v>13</v>
      </c>
      <c r="B38" s="731">
        <f t="shared" si="0"/>
        <v>19953.45</v>
      </c>
      <c r="C38" s="731">
        <f>IFERROR(INDEX('P&amp;L SR 1'!A:ZZ, MATCH(D38, 'P&amp;L SR 1'!B:B, 0), MATCH("TOTAL", 'P&amp;L SR 1'!$5:$5, 0)), 0)</f>
        <v>0</v>
      </c>
      <c r="D38" s="727" t="s">
        <v>731</v>
      </c>
      <c r="E38" s="729">
        <f>19953.45</f>
        <v>19953.45</v>
      </c>
    </row>
    <row r="39" spans="1:5">
      <c r="A39" s="478" cm="1">
        <f t="array" ref="A39">INDEX('Master Mapping'!O:O, MATCH(TRUE, EXACT(TEXT(LEFT(TRIM(D39), 7), "@"), 'Master Mapping'!A:A), 0))</f>
        <v>14</v>
      </c>
      <c r="B39" s="731">
        <f t="shared" si="0"/>
        <v>38139.69</v>
      </c>
      <c r="C39" s="731">
        <f>IFERROR(INDEX('P&amp;L SR 1'!A:ZZ, MATCH(D39, 'P&amp;L SR 1'!B:B, 0), MATCH("TOTAL", 'P&amp;L SR 1'!$5:$5, 0)), 0)</f>
        <v>4769</v>
      </c>
      <c r="D39" s="727" t="s">
        <v>463</v>
      </c>
      <c r="E39" s="729">
        <f>42908.69</f>
        <v>42908.69</v>
      </c>
    </row>
    <row r="40" spans="1:5">
      <c r="A40" s="478" cm="1">
        <f t="array" ref="A40">INDEX('Master Mapping'!O:O, MATCH(TRUE, EXACT(TEXT(LEFT(TRIM(D40), 7), "@"), 'Master Mapping'!A:A), 0))</f>
        <v>13</v>
      </c>
      <c r="B40" s="731">
        <f t="shared" si="0"/>
        <v>3065.26</v>
      </c>
      <c r="C40" s="731">
        <f>IFERROR(INDEX('P&amp;L SR 1'!A:ZZ, MATCH(D40, 'P&amp;L SR 1'!B:B, 0), MATCH("TOTAL", 'P&amp;L SR 1'!$5:$5, 0)), 0)</f>
        <v>0</v>
      </c>
      <c r="D40" s="727" t="s">
        <v>4294</v>
      </c>
      <c r="E40" s="729">
        <f>3065.26</f>
        <v>3065.26</v>
      </c>
    </row>
    <row r="41" spans="1:5">
      <c r="A41" s="478" cm="1">
        <f t="array" ref="A41">INDEX('Master Mapping'!O:O, MATCH(TRUE, EXACT(TEXT(LEFT(TRIM(D41), 7), "@"), 'Master Mapping'!A:A), 0))</f>
        <v>18</v>
      </c>
      <c r="B41" s="731">
        <f t="shared" si="0"/>
        <v>45011.62</v>
      </c>
      <c r="C41" s="731">
        <f>IFERROR(INDEX('P&amp;L SR 1'!A:ZZ, MATCH(D41, 'P&amp;L SR 1'!B:B, 0), MATCH("TOTAL", 'P&amp;L SR 1'!$5:$5, 0)), 0)</f>
        <v>0</v>
      </c>
      <c r="D41" s="727" t="s">
        <v>465</v>
      </c>
      <c r="E41" s="729">
        <f>45011.62</f>
        <v>45011.62</v>
      </c>
    </row>
    <row r="42" spans="1:5">
      <c r="A42" s="478" t="e" cm="1">
        <f t="array" ref="A42">INDEX('Master Mapping'!O:O, MATCH(TRUE, EXACT(TEXT(LEFT(TRIM(D42), 7), "@"), 'Master Mapping'!A:A), 0))</f>
        <v>#N/A</v>
      </c>
      <c r="B42" s="731">
        <f t="shared" si="0"/>
        <v>863402.75</v>
      </c>
      <c r="C42" s="731">
        <f>IFERROR(INDEX('P&amp;L SR 1'!A:ZZ, MATCH(D42, 'P&amp;L SR 1'!B:B, 0), MATCH("TOTAL", 'P&amp;L SR 1'!$5:$5, 0)), 0)</f>
        <v>168437.58999999997</v>
      </c>
      <c r="D42" s="727" t="s">
        <v>466</v>
      </c>
      <c r="E42" s="730">
        <f>((((((((((((E29)+(E30))+(E31))+(E32))+(E33))+(E34))+(E35))+(E36))+(E37))+(E38))+(E39))+(E40))+(E41)</f>
        <v>1031840.34</v>
      </c>
    </row>
    <row r="43" spans="1:5">
      <c r="A43" s="478" t="e" cm="1">
        <f t="array" ref="A43">INDEX('Master Mapping'!O:O, MATCH(TRUE, EXACT(TEXT(LEFT(TRIM(D43), 7), "@"), 'Master Mapping'!A:A), 0))</f>
        <v>#N/A</v>
      </c>
      <c r="B43" s="731">
        <f t="shared" si="0"/>
        <v>0</v>
      </c>
      <c r="C43" s="731">
        <f>IFERROR(INDEX('P&amp;L SR 1'!A:ZZ, MATCH(D43, 'P&amp;L SR 1'!B:B, 0), MATCH("TOTAL", 'P&amp;L SR 1'!$5:$5, 0)), 0)</f>
        <v>0</v>
      </c>
      <c r="D43" s="727" t="s">
        <v>467</v>
      </c>
      <c r="E43" s="728"/>
    </row>
    <row r="44" spans="1:5">
      <c r="A44" s="478" t="e" cm="1">
        <f t="array" ref="A44">INDEX('Master Mapping'!O:O, MATCH(TRUE, EXACT(TEXT(LEFT(TRIM(D44), 7), "@"), 'Master Mapping'!A:A), 0))</f>
        <v>#N/A</v>
      </c>
      <c r="B44" s="731">
        <f t="shared" si="0"/>
        <v>0</v>
      </c>
      <c r="C44" s="731">
        <f>IFERROR(INDEX('P&amp;L SR 1'!A:ZZ, MATCH(D44, 'P&amp;L SR 1'!B:B, 0), MATCH("TOTAL", 'P&amp;L SR 1'!$5:$5, 0)), 0)</f>
        <v>0</v>
      </c>
      <c r="D44" s="727" t="s">
        <v>468</v>
      </c>
      <c r="E44" s="728"/>
    </row>
    <row r="45" spans="1:5">
      <c r="A45" s="478" cm="1">
        <f t="array" ref="A45">INDEX('Master Mapping'!O:O, MATCH(TRUE, EXACT(TEXT(LEFT(TRIM(D45), 7), "@"), 'Master Mapping'!A:A), 0))</f>
        <v>7</v>
      </c>
      <c r="B45" s="731">
        <f t="shared" si="0"/>
        <v>62637.840000000004</v>
      </c>
      <c r="C45" s="731">
        <f>IFERROR(INDEX('P&amp;L SR 1'!A:ZZ, MATCH(D45, 'P&amp;L SR 1'!B:B, 0), MATCH("TOTAL", 'P&amp;L SR 1'!$5:$5, 0)), 0)</f>
        <v>4218.79</v>
      </c>
      <c r="D45" s="727" t="s">
        <v>469</v>
      </c>
      <c r="E45" s="729">
        <f>66856.63</f>
        <v>66856.63</v>
      </c>
    </row>
    <row r="46" spans="1:5">
      <c r="A46" s="478" cm="1">
        <f t="array" ref="A46">INDEX('Master Mapping'!O:O, MATCH(TRUE, EXACT(TEXT(LEFT(TRIM(D46), 7), "@"), 'Master Mapping'!A:A), 0))</f>
        <v>8</v>
      </c>
      <c r="B46" s="731">
        <f t="shared" si="0"/>
        <v>9714.48</v>
      </c>
      <c r="C46" s="731">
        <f>IFERROR(INDEX('P&amp;L SR 1'!A:ZZ, MATCH(D46, 'P&amp;L SR 1'!B:B, 0), MATCH("TOTAL", 'P&amp;L SR 1'!$5:$5, 0)), 0)</f>
        <v>0</v>
      </c>
      <c r="D46" s="727" t="s">
        <v>470</v>
      </c>
      <c r="E46" s="729">
        <f>9714.48</f>
        <v>9714.48</v>
      </c>
    </row>
    <row r="47" spans="1:5">
      <c r="A47" s="478" cm="1">
        <f t="array" ref="A47">INDEX('Master Mapping'!O:O, MATCH(TRUE, EXACT(TEXT(LEFT(TRIM(D47), 7), "@"), 'Master Mapping'!A:A), 0))</f>
        <v>11</v>
      </c>
      <c r="B47" s="731">
        <f t="shared" si="0"/>
        <v>17.02</v>
      </c>
      <c r="C47" s="731">
        <f>IFERROR(INDEX('P&amp;L SR 1'!A:ZZ, MATCH(D47, 'P&amp;L SR 1'!B:B, 0), MATCH("TOTAL", 'P&amp;L SR 1'!$5:$5, 0)), 0)</f>
        <v>0</v>
      </c>
      <c r="D47" s="727" t="s">
        <v>4295</v>
      </c>
      <c r="E47" s="729">
        <f>17.02</f>
        <v>17.02</v>
      </c>
    </row>
    <row r="48" spans="1:5">
      <c r="A48" s="478" cm="1">
        <f t="array" ref="A48">INDEX('Master Mapping'!O:O, MATCH(TRUE, EXACT(TEXT(LEFT(TRIM(D48), 7), "@"), 'Master Mapping'!A:A), 0))</f>
        <v>13</v>
      </c>
      <c r="B48" s="731">
        <f t="shared" si="0"/>
        <v>3029.42</v>
      </c>
      <c r="C48" s="731">
        <f>IFERROR(INDEX('P&amp;L SR 1'!A:ZZ, MATCH(D48, 'P&amp;L SR 1'!B:B, 0), MATCH("TOTAL", 'P&amp;L SR 1'!$5:$5, 0)), 0)</f>
        <v>0</v>
      </c>
      <c r="D48" s="727" t="s">
        <v>471</v>
      </c>
      <c r="E48" s="729">
        <f>3029.42</f>
        <v>3029.42</v>
      </c>
    </row>
    <row r="49" spans="1:5">
      <c r="A49" s="478" cm="1">
        <f t="array" ref="A49">INDEX('Master Mapping'!O:O, MATCH(TRUE, EXACT(TEXT(LEFT(TRIM(D49), 7), "@"), 'Master Mapping'!A:A), 0))</f>
        <v>13</v>
      </c>
      <c r="B49" s="731">
        <f t="shared" si="0"/>
        <v>1708.85</v>
      </c>
      <c r="C49" s="731">
        <f>IFERROR(INDEX('P&amp;L SR 1'!A:ZZ, MATCH(D49, 'P&amp;L SR 1'!B:B, 0), MATCH("TOTAL", 'P&amp;L SR 1'!$5:$5, 0)), 0)</f>
        <v>0</v>
      </c>
      <c r="D49" s="727" t="s">
        <v>472</v>
      </c>
      <c r="E49" s="729">
        <f>1708.85</f>
        <v>1708.85</v>
      </c>
    </row>
    <row r="50" spans="1:5">
      <c r="A50" s="478" cm="1">
        <f t="array" ref="A50">INDEX('Master Mapping'!O:O, MATCH(TRUE, EXACT(TEXT(LEFT(TRIM(D50), 7), "@"), 'Master Mapping'!A:A), 0))</f>
        <v>14</v>
      </c>
      <c r="B50" s="731">
        <f t="shared" si="0"/>
        <v>7098.66</v>
      </c>
      <c r="C50" s="731">
        <f>IFERROR(INDEX('P&amp;L SR 1'!A:ZZ, MATCH(D50, 'P&amp;L SR 1'!B:B, 0), MATCH("TOTAL", 'P&amp;L SR 1'!$5:$5, 0)), 0)</f>
        <v>0</v>
      </c>
      <c r="D50" s="727" t="s">
        <v>473</v>
      </c>
      <c r="E50" s="729">
        <f>7098.66</f>
        <v>7098.66</v>
      </c>
    </row>
    <row r="51" spans="1:5">
      <c r="A51" s="478" cm="1">
        <f t="array" ref="A51">INDEX('Master Mapping'!O:O, MATCH(TRUE, EXACT(TEXT(LEFT(TRIM(D51), 7), "@"), 'Master Mapping'!A:A), 0))</f>
        <v>16</v>
      </c>
      <c r="B51" s="731">
        <f t="shared" si="0"/>
        <v>22136.03</v>
      </c>
      <c r="C51" s="731">
        <f>IFERROR(INDEX('P&amp;L SR 1'!A:ZZ, MATCH(D51, 'P&amp;L SR 1'!B:B, 0), MATCH("TOTAL", 'P&amp;L SR 1'!$5:$5, 0)), 0)</f>
        <v>0</v>
      </c>
      <c r="D51" s="727" t="s">
        <v>474</v>
      </c>
      <c r="E51" s="729">
        <f>22136.03</f>
        <v>22136.03</v>
      </c>
    </row>
    <row r="52" spans="1:5">
      <c r="A52" s="478" t="e" cm="1">
        <f t="array" ref="A52">INDEX('Master Mapping'!O:O, MATCH(TRUE, EXACT(TEXT(LEFT(TRIM(D52), 7), "@"), 'Master Mapping'!A:A), 0))</f>
        <v>#N/A</v>
      </c>
      <c r="B52" s="731">
        <f t="shared" si="0"/>
        <v>106342.30000000002</v>
      </c>
      <c r="C52" s="731">
        <f>IFERROR(INDEX('P&amp;L SR 1'!A:ZZ, MATCH(D52, 'P&amp;L SR 1'!B:B, 0), MATCH("TOTAL", 'P&amp;L SR 1'!$5:$5, 0)), 0)</f>
        <v>4218.79</v>
      </c>
      <c r="D52" s="727" t="s">
        <v>476</v>
      </c>
      <c r="E52" s="730">
        <f>(((((((E44)+(E45))+(E46))+(E47))+(E48))+(E49))+(E50))+(E51)</f>
        <v>110561.09000000001</v>
      </c>
    </row>
    <row r="53" spans="1:5">
      <c r="A53" s="478" t="e" cm="1">
        <f t="array" ref="A53">INDEX('Master Mapping'!O:O, MATCH(TRUE, EXACT(TEXT(LEFT(TRIM(D53), 7), "@"), 'Master Mapping'!A:A), 0))</f>
        <v>#N/A</v>
      </c>
      <c r="B53" s="731">
        <f t="shared" si="0"/>
        <v>0</v>
      </c>
      <c r="C53" s="731">
        <f>IFERROR(INDEX('P&amp;L SR 1'!A:ZZ, MATCH(D53, 'P&amp;L SR 1'!B:B, 0), MATCH("TOTAL", 'P&amp;L SR 1'!$5:$5, 0)), 0)</f>
        <v>0</v>
      </c>
      <c r="D53" s="727" t="s">
        <v>477</v>
      </c>
      <c r="E53" s="728"/>
    </row>
    <row r="54" spans="1:5">
      <c r="A54" s="478" cm="1">
        <f t="array" ref="A54">INDEX('Master Mapping'!O:O, MATCH(TRUE, EXACT(TEXT(LEFT(TRIM(D54), 7), "@"), 'Master Mapping'!A:A), 0))</f>
        <v>7</v>
      </c>
      <c r="B54" s="731">
        <f t="shared" si="0"/>
        <v>27395.18</v>
      </c>
      <c r="C54" s="731">
        <f>IFERROR(INDEX('P&amp;L SR 1'!A:ZZ, MATCH(D54, 'P&amp;L SR 1'!B:B, 0), MATCH("TOTAL", 'P&amp;L SR 1'!$5:$5, 0)), 0)</f>
        <v>2212.2199999999998</v>
      </c>
      <c r="D54" s="727" t="s">
        <v>478</v>
      </c>
      <c r="E54" s="729">
        <f>29607.4</f>
        <v>29607.4</v>
      </c>
    </row>
    <row r="55" spans="1:5">
      <c r="A55" s="478" cm="1">
        <f t="array" ref="A55">INDEX('Master Mapping'!O:O, MATCH(TRUE, EXACT(TEXT(LEFT(TRIM(D55), 7), "@"), 'Master Mapping'!A:A), 0))</f>
        <v>8</v>
      </c>
      <c r="B55" s="731">
        <f t="shared" si="0"/>
        <v>6555.61</v>
      </c>
      <c r="C55" s="731">
        <f>IFERROR(INDEX('P&amp;L SR 1'!A:ZZ, MATCH(D55, 'P&amp;L SR 1'!B:B, 0), MATCH("TOTAL", 'P&amp;L SR 1'!$5:$5, 0)), 0)</f>
        <v>0</v>
      </c>
      <c r="D55" s="727" t="s">
        <v>479</v>
      </c>
      <c r="E55" s="729">
        <f>6555.61</f>
        <v>6555.61</v>
      </c>
    </row>
    <row r="56" spans="1:5">
      <c r="A56" s="478" cm="1">
        <f t="array" ref="A56">INDEX('Master Mapping'!O:O, MATCH(TRUE, EXACT(TEXT(LEFT(TRIM(D56), 7), "@"), 'Master Mapping'!A:A), 0))</f>
        <v>11</v>
      </c>
      <c r="B56" s="731">
        <f t="shared" si="0"/>
        <v>91.01</v>
      </c>
      <c r="C56" s="731">
        <f>IFERROR(INDEX('P&amp;L SR 1'!A:ZZ, MATCH(D56, 'P&amp;L SR 1'!B:B, 0), MATCH("TOTAL", 'P&amp;L SR 1'!$5:$5, 0)), 0)</f>
        <v>0</v>
      </c>
      <c r="D56" s="727" t="s">
        <v>4296</v>
      </c>
      <c r="E56" s="729">
        <f>91.01</f>
        <v>91.01</v>
      </c>
    </row>
    <row r="57" spans="1:5">
      <c r="A57" s="478" cm="1">
        <f t="array" ref="A57">INDEX('Master Mapping'!O:O, MATCH(TRUE, EXACT(TEXT(LEFT(TRIM(D57), 7), "@"), 'Master Mapping'!A:A), 0))</f>
        <v>13</v>
      </c>
      <c r="B57" s="731">
        <f t="shared" si="0"/>
        <v>2013.45</v>
      </c>
      <c r="C57" s="731">
        <f>IFERROR(INDEX('P&amp;L SR 1'!A:ZZ, MATCH(D57, 'P&amp;L SR 1'!B:B, 0), MATCH("TOTAL", 'P&amp;L SR 1'!$5:$5, 0)), 0)</f>
        <v>0</v>
      </c>
      <c r="D57" s="727" t="s">
        <v>480</v>
      </c>
      <c r="E57" s="729">
        <f>2013.45</f>
        <v>2013.45</v>
      </c>
    </row>
    <row r="58" spans="1:5">
      <c r="A58" s="478" cm="1">
        <f t="array" ref="A58">INDEX('Master Mapping'!O:O, MATCH(TRUE, EXACT(TEXT(LEFT(TRIM(D58), 7), "@"), 'Master Mapping'!A:A), 0))</f>
        <v>13</v>
      </c>
      <c r="B58" s="731">
        <f t="shared" si="0"/>
        <v>1237.1199999999999</v>
      </c>
      <c r="C58" s="731">
        <f>IFERROR(INDEX('P&amp;L SR 1'!A:ZZ, MATCH(D58, 'P&amp;L SR 1'!B:B, 0), MATCH("TOTAL", 'P&amp;L SR 1'!$5:$5, 0)), 0)</f>
        <v>0</v>
      </c>
      <c r="D58" s="727" t="s">
        <v>732</v>
      </c>
      <c r="E58" s="729">
        <f>1237.12</f>
        <v>1237.1199999999999</v>
      </c>
    </row>
    <row r="59" spans="1:5">
      <c r="A59" s="478" cm="1">
        <f t="array" ref="A59">INDEX('Master Mapping'!O:O, MATCH(TRUE, EXACT(TEXT(LEFT(TRIM(D59), 7), "@"), 'Master Mapping'!A:A), 0))</f>
        <v>13</v>
      </c>
      <c r="B59" s="731">
        <f t="shared" si="0"/>
        <v>1422.09</v>
      </c>
      <c r="C59" s="731">
        <f>IFERROR(INDEX('P&amp;L SR 1'!A:ZZ, MATCH(D59, 'P&amp;L SR 1'!B:B, 0), MATCH("TOTAL", 'P&amp;L SR 1'!$5:$5, 0)), 0)</f>
        <v>0</v>
      </c>
      <c r="D59" s="727" t="s">
        <v>481</v>
      </c>
      <c r="E59" s="729">
        <f>1422.09</f>
        <v>1422.09</v>
      </c>
    </row>
    <row r="60" spans="1:5">
      <c r="A60" s="478" cm="1">
        <f t="array" ref="A60">INDEX('Master Mapping'!O:O, MATCH(TRUE, EXACT(TEXT(LEFT(TRIM(D60), 7), "@"), 'Master Mapping'!A:A), 0))</f>
        <v>14</v>
      </c>
      <c r="B60" s="731">
        <f t="shared" si="0"/>
        <v>2436.2199999999998</v>
      </c>
      <c r="C60" s="731">
        <f>IFERROR(INDEX('P&amp;L SR 1'!A:ZZ, MATCH(D60, 'P&amp;L SR 1'!B:B, 0), MATCH("TOTAL", 'P&amp;L SR 1'!$5:$5, 0)), 0)</f>
        <v>0</v>
      </c>
      <c r="D60" s="727" t="s">
        <v>482</v>
      </c>
      <c r="E60" s="729">
        <f>2436.22</f>
        <v>2436.2199999999998</v>
      </c>
    </row>
    <row r="61" spans="1:5">
      <c r="A61" s="478" cm="1">
        <f t="array" ref="A61">INDEX('Master Mapping'!O:O, MATCH(TRUE, EXACT(TEXT(LEFT(TRIM(D61), 7), "@"), 'Master Mapping'!A:A), 0))</f>
        <v>16</v>
      </c>
      <c r="B61" s="731">
        <f t="shared" si="0"/>
        <v>15116.36</v>
      </c>
      <c r="C61" s="731">
        <f>IFERROR(INDEX('P&amp;L SR 1'!A:ZZ, MATCH(D61, 'P&amp;L SR 1'!B:B, 0), MATCH("TOTAL", 'P&amp;L SR 1'!$5:$5, 0)), 0)</f>
        <v>0</v>
      </c>
      <c r="D61" s="727" t="s">
        <v>483</v>
      </c>
      <c r="E61" s="729">
        <f>15116.36</f>
        <v>15116.36</v>
      </c>
    </row>
    <row r="62" spans="1:5">
      <c r="A62" s="478" cm="1">
        <f t="array" ref="A62">INDEX('Master Mapping'!O:O, MATCH(TRUE, EXACT(TEXT(LEFT(TRIM(D62), 7), "@"), 'Master Mapping'!A:A), 0))</f>
        <v>18</v>
      </c>
      <c r="B62" s="731">
        <f t="shared" si="0"/>
        <v>2790.71</v>
      </c>
      <c r="C62" s="731">
        <f>IFERROR(INDEX('P&amp;L SR 1'!A:ZZ, MATCH(D62, 'P&amp;L SR 1'!B:B, 0), MATCH("TOTAL", 'P&amp;L SR 1'!$5:$5, 0)), 0)</f>
        <v>0</v>
      </c>
      <c r="D62" s="727" t="s">
        <v>484</v>
      </c>
      <c r="E62" s="729">
        <f>2790.71</f>
        <v>2790.71</v>
      </c>
    </row>
    <row r="63" spans="1:5">
      <c r="A63" s="478" t="e" cm="1">
        <f t="array" ref="A63">INDEX('Master Mapping'!O:O, MATCH(TRUE, EXACT(TEXT(LEFT(TRIM(D63), 7), "@"), 'Master Mapping'!A:A), 0))</f>
        <v>#N/A</v>
      </c>
      <c r="B63" s="731">
        <f t="shared" si="0"/>
        <v>59057.75</v>
      </c>
      <c r="C63" s="731">
        <f>IFERROR(INDEX('P&amp;L SR 1'!A:ZZ, MATCH(D63, 'P&amp;L SR 1'!B:B, 0), MATCH("TOTAL", 'P&amp;L SR 1'!$5:$5, 0)), 0)</f>
        <v>2212.2199999999998</v>
      </c>
      <c r="D63" s="727" t="s">
        <v>485</v>
      </c>
      <c r="E63" s="730">
        <f>(((((((((E53)+(E54))+(E55))+(E56))+(E57))+(E58))+(E59))+(E60))+(E61))+(E62)</f>
        <v>61269.97</v>
      </c>
    </row>
    <row r="64" spans="1:5">
      <c r="A64" s="478" t="e" cm="1">
        <f t="array" ref="A64">INDEX('Master Mapping'!O:O, MATCH(TRUE, EXACT(TEXT(LEFT(TRIM(D64), 7), "@"), 'Master Mapping'!A:A), 0))</f>
        <v>#N/A</v>
      </c>
      <c r="B64" s="731">
        <f t="shared" si="0"/>
        <v>0</v>
      </c>
      <c r="C64" s="731">
        <f>IFERROR(INDEX('P&amp;L SR 1'!A:ZZ, MATCH(D64, 'P&amp;L SR 1'!B:B, 0), MATCH("TOTAL", 'P&amp;L SR 1'!$5:$5, 0)), 0)</f>
        <v>0</v>
      </c>
      <c r="D64" s="727" t="s">
        <v>486</v>
      </c>
      <c r="E64" s="728"/>
    </row>
    <row r="65" spans="1:5">
      <c r="A65" s="478" cm="1">
        <f t="array" ref="A65">INDEX('Master Mapping'!O:O, MATCH(TRUE, EXACT(TEXT(LEFT(TRIM(D65), 7), "@"), 'Master Mapping'!A:A), 0))</f>
        <v>7</v>
      </c>
      <c r="B65" s="731">
        <f t="shared" si="0"/>
        <v>6924.28</v>
      </c>
      <c r="C65" s="731">
        <f>IFERROR(INDEX('P&amp;L SR 1'!A:ZZ, MATCH(D65, 'P&amp;L SR 1'!B:B, 0), MATCH("TOTAL", 'P&amp;L SR 1'!$5:$5, 0)), 0)</f>
        <v>0</v>
      </c>
      <c r="D65" s="727" t="s">
        <v>487</v>
      </c>
      <c r="E65" s="729">
        <f>6924.28</f>
        <v>6924.28</v>
      </c>
    </row>
    <row r="66" spans="1:5">
      <c r="A66" s="478" cm="1">
        <f t="array" ref="A66">INDEX('Master Mapping'!O:O, MATCH(TRUE, EXACT(TEXT(LEFT(TRIM(D66), 7), "@"), 'Master Mapping'!A:A), 0))</f>
        <v>8</v>
      </c>
      <c r="B66" s="731">
        <f t="shared" si="0"/>
        <v>1529.87</v>
      </c>
      <c r="C66" s="731">
        <f>IFERROR(INDEX('P&amp;L SR 1'!A:ZZ, MATCH(D66, 'P&amp;L SR 1'!B:B, 0), MATCH("TOTAL", 'P&amp;L SR 1'!$5:$5, 0)), 0)</f>
        <v>0</v>
      </c>
      <c r="D66" s="727" t="s">
        <v>488</v>
      </c>
      <c r="E66" s="729">
        <f>1529.87</f>
        <v>1529.87</v>
      </c>
    </row>
    <row r="67" spans="1:5">
      <c r="A67" s="478" cm="1">
        <f t="array" ref="A67">INDEX('Master Mapping'!O:O, MATCH(TRUE, EXACT(TEXT(LEFT(TRIM(D67), 7), "@"), 'Master Mapping'!A:A), 0))</f>
        <v>11</v>
      </c>
      <c r="B67" s="731">
        <f t="shared" si="0"/>
        <v>21.29</v>
      </c>
      <c r="C67" s="731">
        <f>IFERROR(INDEX('P&amp;L SR 1'!A:ZZ, MATCH(D67, 'P&amp;L SR 1'!B:B, 0), MATCH("TOTAL", 'P&amp;L SR 1'!$5:$5, 0)), 0)</f>
        <v>0</v>
      </c>
      <c r="D67" s="727" t="s">
        <v>4297</v>
      </c>
      <c r="E67" s="729">
        <f>21.29</f>
        <v>21.29</v>
      </c>
    </row>
    <row r="68" spans="1:5">
      <c r="A68" s="478" cm="1">
        <f t="array" ref="A68">INDEX('Master Mapping'!O:O, MATCH(TRUE, EXACT(TEXT(LEFT(TRIM(D68), 7), "@"), 'Master Mapping'!A:A), 0))</f>
        <v>13</v>
      </c>
      <c r="B68" s="731">
        <f t="shared" si="0"/>
        <v>470.85</v>
      </c>
      <c r="C68" s="731">
        <f>IFERROR(INDEX('P&amp;L SR 1'!A:ZZ, MATCH(D68, 'P&amp;L SR 1'!B:B, 0), MATCH("TOTAL", 'P&amp;L SR 1'!$5:$5, 0)), 0)</f>
        <v>0</v>
      </c>
      <c r="D68" s="727" t="s">
        <v>489</v>
      </c>
      <c r="E68" s="729">
        <f>470.85</f>
        <v>470.85</v>
      </c>
    </row>
    <row r="69" spans="1:5">
      <c r="A69" s="478" cm="1">
        <f t="array" ref="A69">INDEX('Master Mapping'!O:O, MATCH(TRUE, EXACT(TEXT(LEFT(TRIM(D69), 7), "@"), 'Master Mapping'!A:A), 0))</f>
        <v>13</v>
      </c>
      <c r="B69" s="731">
        <f t="shared" si="0"/>
        <v>289.31</v>
      </c>
      <c r="C69" s="731">
        <f>IFERROR(INDEX('P&amp;L SR 1'!A:ZZ, MATCH(D69, 'P&amp;L SR 1'!B:B, 0), MATCH("TOTAL", 'P&amp;L SR 1'!$5:$5, 0)), 0)</f>
        <v>0</v>
      </c>
      <c r="D69" s="727" t="s">
        <v>733</v>
      </c>
      <c r="E69" s="729">
        <f>289.31</f>
        <v>289.31</v>
      </c>
    </row>
    <row r="70" spans="1:5">
      <c r="A70" s="478" cm="1">
        <f t="array" ref="A70">INDEX('Master Mapping'!O:O, MATCH(TRUE, EXACT(TEXT(LEFT(TRIM(D70), 7), "@"), 'Master Mapping'!A:A), 0))</f>
        <v>13</v>
      </c>
      <c r="B70" s="731">
        <f t="shared" si="0"/>
        <v>332.59</v>
      </c>
      <c r="C70" s="731">
        <f>IFERROR(INDEX('P&amp;L SR 1'!A:ZZ, MATCH(D70, 'P&amp;L SR 1'!B:B, 0), MATCH("TOTAL", 'P&amp;L SR 1'!$5:$5, 0)), 0)</f>
        <v>0</v>
      </c>
      <c r="D70" s="727" t="s">
        <v>490</v>
      </c>
      <c r="E70" s="729">
        <f>332.59</f>
        <v>332.59</v>
      </c>
    </row>
    <row r="71" spans="1:5">
      <c r="A71" s="478" cm="1">
        <f t="array" ref="A71">INDEX('Master Mapping'!O:O, MATCH(TRUE, EXACT(TEXT(LEFT(TRIM(D71), 7), "@"), 'Master Mapping'!A:A), 0))</f>
        <v>14</v>
      </c>
      <c r="B71" s="731">
        <f t="shared" si="0"/>
        <v>569.72</v>
      </c>
      <c r="C71" s="731">
        <f>IFERROR(INDEX('P&amp;L SR 1'!A:ZZ, MATCH(D71, 'P&amp;L SR 1'!B:B, 0), MATCH("TOTAL", 'P&amp;L SR 1'!$5:$5, 0)), 0)</f>
        <v>0</v>
      </c>
      <c r="D71" s="727" t="s">
        <v>491</v>
      </c>
      <c r="E71" s="729">
        <f>569.72</f>
        <v>569.72</v>
      </c>
    </row>
    <row r="72" spans="1:5">
      <c r="A72" s="478" cm="1">
        <f t="array" ref="A72">INDEX('Master Mapping'!O:O, MATCH(TRUE, EXACT(TEXT(LEFT(TRIM(D72), 7), "@"), 'Master Mapping'!A:A), 0))</f>
        <v>16</v>
      </c>
      <c r="B72" s="731">
        <f t="shared" si="0"/>
        <v>3608.16</v>
      </c>
      <c r="C72" s="731">
        <f>IFERROR(INDEX('P&amp;L SR 1'!A:ZZ, MATCH(D72, 'P&amp;L SR 1'!B:B, 0), MATCH("TOTAL", 'P&amp;L SR 1'!$5:$5, 0)), 0)</f>
        <v>0</v>
      </c>
      <c r="D72" s="727" t="s">
        <v>492</v>
      </c>
      <c r="E72" s="729">
        <f>3608.16</f>
        <v>3608.16</v>
      </c>
    </row>
    <row r="73" spans="1:5">
      <c r="A73" s="478" cm="1">
        <f t="array" ref="A73">INDEX('Master Mapping'!O:O, MATCH(TRUE, EXACT(TEXT(LEFT(TRIM(D73), 7), "@"), 'Master Mapping'!A:A), 0))</f>
        <v>18</v>
      </c>
      <c r="B73" s="731">
        <f t="shared" ref="B73:B136" si="1">E73-C73</f>
        <v>652.71</v>
      </c>
      <c r="C73" s="731">
        <f>IFERROR(INDEX('P&amp;L SR 1'!A:ZZ, MATCH(D73, 'P&amp;L SR 1'!B:B, 0), MATCH("TOTAL", 'P&amp;L SR 1'!$5:$5, 0)), 0)</f>
        <v>0</v>
      </c>
      <c r="D73" s="727" t="s">
        <v>493</v>
      </c>
      <c r="E73" s="729">
        <f>652.71</f>
        <v>652.71</v>
      </c>
    </row>
    <row r="74" spans="1:5">
      <c r="A74" s="478" t="e" cm="1">
        <f t="array" ref="A74">INDEX('Master Mapping'!O:O, MATCH(TRUE, EXACT(TEXT(LEFT(TRIM(D74), 7), "@"), 'Master Mapping'!A:A), 0))</f>
        <v>#N/A</v>
      </c>
      <c r="B74" s="731">
        <f t="shared" si="1"/>
        <v>14398.779999999999</v>
      </c>
      <c r="C74" s="731">
        <f>IFERROR(INDEX('P&amp;L SR 1'!A:ZZ, MATCH(D74, 'P&amp;L SR 1'!B:B, 0), MATCH("TOTAL", 'P&amp;L SR 1'!$5:$5, 0)), 0)</f>
        <v>0</v>
      </c>
      <c r="D74" s="727" t="s">
        <v>494</v>
      </c>
      <c r="E74" s="730">
        <f>(((((((((E64)+(E65))+(E66))+(E67))+(E68))+(E69))+(E70))+(E71))+(E72))+(E73)</f>
        <v>14398.779999999999</v>
      </c>
    </row>
    <row r="75" spans="1:5">
      <c r="A75" s="478" t="e" cm="1">
        <f t="array" ref="A75">INDEX('Master Mapping'!O:O, MATCH(TRUE, EXACT(TEXT(LEFT(TRIM(D75), 7), "@"), 'Master Mapping'!A:A), 0))</f>
        <v>#N/A</v>
      </c>
      <c r="B75" s="731">
        <f t="shared" si="1"/>
        <v>0</v>
      </c>
      <c r="C75" s="731">
        <f>IFERROR(INDEX('P&amp;L SR 1'!A:ZZ, MATCH(D75, 'P&amp;L SR 1'!B:B, 0), MATCH("TOTAL", 'P&amp;L SR 1'!$5:$5, 0)), 0)</f>
        <v>0</v>
      </c>
      <c r="D75" s="727" t="s">
        <v>495</v>
      </c>
      <c r="E75" s="728"/>
    </row>
    <row r="76" spans="1:5">
      <c r="A76" s="478" cm="1">
        <f t="array" ref="A76">INDEX('Master Mapping'!O:O, MATCH(TRUE, EXACT(TEXT(LEFT(TRIM(D76), 7), "@"), 'Master Mapping'!A:A), 0))</f>
        <v>13</v>
      </c>
      <c r="B76" s="731">
        <f t="shared" si="1"/>
        <v>137.94</v>
      </c>
      <c r="C76" s="731">
        <f>IFERROR(INDEX('P&amp;L SR 1'!A:ZZ, MATCH(D76, 'P&amp;L SR 1'!B:B, 0), MATCH("TOTAL", 'P&amp;L SR 1'!$5:$5, 0)), 0)</f>
        <v>0</v>
      </c>
      <c r="D76" s="727" t="s">
        <v>497</v>
      </c>
      <c r="E76" s="729">
        <f>137.94</f>
        <v>137.94</v>
      </c>
    </row>
    <row r="77" spans="1:5">
      <c r="A77" s="478" cm="1">
        <f t="array" ref="A77">INDEX('Master Mapping'!O:O, MATCH(TRUE, EXACT(TEXT(LEFT(TRIM(D77), 7), "@"), 'Master Mapping'!A:A), 0))</f>
        <v>14</v>
      </c>
      <c r="B77" s="731">
        <f t="shared" si="1"/>
        <v>1566.97</v>
      </c>
      <c r="C77" s="731">
        <f>IFERROR(INDEX('P&amp;L SR 1'!A:ZZ, MATCH(D77, 'P&amp;L SR 1'!B:B, 0), MATCH("TOTAL", 'P&amp;L SR 1'!$5:$5, 0)), 0)</f>
        <v>0</v>
      </c>
      <c r="D77" s="727" t="s">
        <v>498</v>
      </c>
      <c r="E77" s="729">
        <f>1566.97</f>
        <v>1566.97</v>
      </c>
    </row>
    <row r="78" spans="1:5">
      <c r="A78" s="478" cm="1">
        <f t="array" ref="A78">INDEX('Master Mapping'!O:O, MATCH(TRUE, EXACT(TEXT(LEFT(TRIM(D78), 7), "@"), 'Master Mapping'!A:A), 0))</f>
        <v>16</v>
      </c>
      <c r="B78" s="731">
        <f t="shared" si="1"/>
        <v>7647.46</v>
      </c>
      <c r="C78" s="731">
        <f>IFERROR(INDEX('P&amp;L SR 1'!A:ZZ, MATCH(D78, 'P&amp;L SR 1'!B:B, 0), MATCH("TOTAL", 'P&amp;L SR 1'!$5:$5, 0)), 0)</f>
        <v>0</v>
      </c>
      <c r="D78" s="727" t="s">
        <v>499</v>
      </c>
      <c r="E78" s="729">
        <f>7647.46</f>
        <v>7647.46</v>
      </c>
    </row>
    <row r="79" spans="1:5">
      <c r="A79" s="478" t="e" cm="1">
        <f t="array" ref="A79">INDEX('Master Mapping'!O:O, MATCH(TRUE, EXACT(TEXT(LEFT(TRIM(D79), 7), "@"), 'Master Mapping'!A:A), 0))</f>
        <v>#N/A</v>
      </c>
      <c r="B79" s="731">
        <f t="shared" si="1"/>
        <v>9352.3700000000008</v>
      </c>
      <c r="C79" s="731">
        <f>IFERROR(INDEX('P&amp;L SR 1'!A:ZZ, MATCH(D79, 'P&amp;L SR 1'!B:B, 0), MATCH("TOTAL", 'P&amp;L SR 1'!$5:$5, 0)), 0)</f>
        <v>0</v>
      </c>
      <c r="D79" s="727" t="s">
        <v>500</v>
      </c>
      <c r="E79" s="730">
        <f>(((E75)+(E76))+(E77))+(E78)</f>
        <v>9352.3700000000008</v>
      </c>
    </row>
    <row r="80" spans="1:5">
      <c r="A80" s="478" cm="1">
        <f t="array" ref="A80">INDEX('Master Mapping'!O:O, MATCH(TRUE, EXACT(TEXT(LEFT(TRIM(D80), 7), "@"), 'Master Mapping'!A:A), 0))</f>
        <v>14</v>
      </c>
      <c r="B80" s="731">
        <f t="shared" si="1"/>
        <v>341.4</v>
      </c>
      <c r="C80" s="731">
        <f>IFERROR(INDEX('P&amp;L SR 1'!A:ZZ, MATCH(D80, 'P&amp;L SR 1'!B:B, 0), MATCH("TOTAL", 'P&amp;L SR 1'!$5:$5, 0)), 0)</f>
        <v>0</v>
      </c>
      <c r="D80" s="727" t="s">
        <v>4298</v>
      </c>
      <c r="E80" s="729">
        <f>341.4</f>
        <v>341.4</v>
      </c>
    </row>
    <row r="81" spans="1:5">
      <c r="A81" s="478" t="e" cm="1">
        <f t="array" ref="A81">INDEX('Master Mapping'!O:O, MATCH(TRUE, EXACT(TEXT(LEFT(TRIM(D81), 7), "@"), 'Master Mapping'!A:A), 0))</f>
        <v>#N/A</v>
      </c>
      <c r="B81" s="731">
        <f t="shared" si="1"/>
        <v>0</v>
      </c>
      <c r="C81" s="731">
        <f>IFERROR(INDEX('P&amp;L SR 1'!A:ZZ, MATCH(D81, 'P&amp;L SR 1'!B:B, 0), MATCH("TOTAL", 'P&amp;L SR 1'!$5:$5, 0)), 0)</f>
        <v>0</v>
      </c>
      <c r="D81" s="727" t="s">
        <v>501</v>
      </c>
      <c r="E81" s="728"/>
    </row>
    <row r="82" spans="1:5">
      <c r="A82" s="478" cm="1">
        <f t="array" ref="A82">INDEX('Master Mapping'!O:O, MATCH(TRUE, EXACT(TEXT(LEFT(TRIM(D82), 7), "@"), 'Master Mapping'!A:A), 0))</f>
        <v>7</v>
      </c>
      <c r="B82" s="731">
        <f t="shared" si="1"/>
        <v>886.57</v>
      </c>
      <c r="C82" s="731">
        <f>IFERROR(INDEX('P&amp;L SR 1'!A:ZZ, MATCH(D82, 'P&amp;L SR 1'!B:B, 0), MATCH("TOTAL", 'P&amp;L SR 1'!$5:$5, 0)), 0)</f>
        <v>0</v>
      </c>
      <c r="D82" s="727" t="s">
        <v>502</v>
      </c>
      <c r="E82" s="729">
        <f>886.57</f>
        <v>886.57</v>
      </c>
    </row>
    <row r="83" spans="1:5">
      <c r="A83" s="478" cm="1">
        <f t="array" ref="A83">INDEX('Master Mapping'!O:O, MATCH(TRUE, EXACT(TEXT(LEFT(TRIM(D83), 7), "@"), 'Master Mapping'!A:A), 0))</f>
        <v>18</v>
      </c>
      <c r="B83" s="731">
        <f t="shared" si="1"/>
        <v>192.51</v>
      </c>
      <c r="C83" s="731">
        <f>IFERROR(INDEX('P&amp;L SR 1'!A:ZZ, MATCH(D83, 'P&amp;L SR 1'!B:B, 0), MATCH("TOTAL", 'P&amp;L SR 1'!$5:$5, 0)), 0)</f>
        <v>0</v>
      </c>
      <c r="D83" s="727" t="s">
        <v>508</v>
      </c>
      <c r="E83" s="729">
        <f>192.51</f>
        <v>192.51</v>
      </c>
    </row>
    <row r="84" spans="1:5">
      <c r="A84" s="478" t="e" cm="1">
        <f t="array" ref="A84">INDEX('Master Mapping'!O:O, MATCH(TRUE, EXACT(TEXT(LEFT(TRIM(D84), 7), "@"), 'Master Mapping'!A:A), 0))</f>
        <v>#N/A</v>
      </c>
      <c r="B84" s="731">
        <f t="shared" si="1"/>
        <v>1079.08</v>
      </c>
      <c r="C84" s="731">
        <f>IFERROR(INDEX('P&amp;L SR 1'!A:ZZ, MATCH(D84, 'P&amp;L SR 1'!B:B, 0), MATCH("TOTAL", 'P&amp;L SR 1'!$5:$5, 0)), 0)</f>
        <v>0</v>
      </c>
      <c r="D84" s="727" t="s">
        <v>509</v>
      </c>
      <c r="E84" s="730">
        <f>((E81)+(E82))+(E83)</f>
        <v>1079.08</v>
      </c>
    </row>
    <row r="85" spans="1:5">
      <c r="A85" s="478" t="e" cm="1">
        <f t="array" ref="A85">INDEX('Master Mapping'!O:O, MATCH(TRUE, EXACT(TEXT(LEFT(TRIM(D85), 7), "@"), 'Master Mapping'!A:A), 0))</f>
        <v>#N/A</v>
      </c>
      <c r="B85" s="731">
        <f t="shared" si="1"/>
        <v>0</v>
      </c>
      <c r="C85" s="731">
        <f>IFERROR(INDEX('P&amp;L SR 1'!A:ZZ, MATCH(D85, 'P&amp;L SR 1'!B:B, 0), MATCH("TOTAL", 'P&amp;L SR 1'!$5:$5, 0)), 0)</f>
        <v>0</v>
      </c>
      <c r="D85" s="727" t="s">
        <v>272</v>
      </c>
      <c r="E85" s="728"/>
    </row>
    <row r="86" spans="1:5">
      <c r="A86" s="478" cm="1">
        <f t="array" ref="A86">INDEX('Master Mapping'!O:O, MATCH(TRUE, EXACT(TEXT(LEFT(TRIM(D86), 7), "@"), 'Master Mapping'!A:A), 0))</f>
        <v>7</v>
      </c>
      <c r="B86" s="731">
        <f t="shared" si="1"/>
        <v>5180.41</v>
      </c>
      <c r="C86" s="731">
        <f>IFERROR(INDEX('P&amp;L SR 1'!A:ZZ, MATCH(D86, 'P&amp;L SR 1'!B:B, 0), MATCH("TOTAL", 'P&amp;L SR 1'!$5:$5, 0)), 0)</f>
        <v>0</v>
      </c>
      <c r="D86" s="727" t="s">
        <v>510</v>
      </c>
      <c r="E86" s="729">
        <f>5180.41</f>
        <v>5180.41</v>
      </c>
    </row>
    <row r="87" spans="1:5">
      <c r="A87" s="478" t="e" cm="1">
        <f t="array" ref="A87">INDEX('Master Mapping'!O:O, MATCH(TRUE, EXACT(TEXT(LEFT(TRIM(D87), 7), "@"), 'Master Mapping'!A:A), 0))</f>
        <v>#N/A</v>
      </c>
      <c r="B87" s="731">
        <f t="shared" si="1"/>
        <v>5180.41</v>
      </c>
      <c r="C87" s="731">
        <f>IFERROR(INDEX('P&amp;L SR 1'!A:ZZ, MATCH(D87, 'P&amp;L SR 1'!B:B, 0), MATCH("TOTAL", 'P&amp;L SR 1'!$5:$5, 0)), 0)</f>
        <v>0</v>
      </c>
      <c r="D87" s="727" t="s">
        <v>511</v>
      </c>
      <c r="E87" s="730">
        <f>(E85)+(E86)</f>
        <v>5180.41</v>
      </c>
    </row>
    <row r="88" spans="1:5">
      <c r="A88" s="478" t="e" cm="1">
        <f t="array" ref="A88">INDEX('Master Mapping'!O:O, MATCH(TRUE, EXACT(TEXT(LEFT(TRIM(D88), 7), "@"), 'Master Mapping'!A:A), 0))</f>
        <v>#N/A</v>
      </c>
      <c r="B88" s="731">
        <f t="shared" si="1"/>
        <v>195752.08999999997</v>
      </c>
      <c r="C88" s="731">
        <f>IFERROR(INDEX('P&amp;L SR 1'!A:ZZ, MATCH(D88, 'P&amp;L SR 1'!B:B, 0), MATCH("TOTAL", 'P&amp;L SR 1'!$5:$5, 0)), 0)</f>
        <v>6431.01</v>
      </c>
      <c r="D88" s="727" t="s">
        <v>515</v>
      </c>
      <c r="E88" s="730">
        <f>(((((((E43)+(E52))+(E63))+(E74))+(E79))+(E80))+(E84))+(E87)</f>
        <v>202183.09999999998</v>
      </c>
    </row>
    <row r="89" spans="1:5">
      <c r="A89" s="478" t="e" cm="1">
        <f t="array" ref="A89">INDEX('Master Mapping'!O:O, MATCH(TRUE, EXACT(TEXT(LEFT(TRIM(D89), 7), "@"), 'Master Mapping'!A:A), 0))</f>
        <v>#N/A</v>
      </c>
      <c r="B89" s="731">
        <f t="shared" si="1"/>
        <v>0</v>
      </c>
      <c r="C89" s="731">
        <f>IFERROR(INDEX('P&amp;L SR 1'!A:ZZ, MATCH(D89, 'P&amp;L SR 1'!B:B, 0), MATCH("TOTAL", 'P&amp;L SR 1'!$5:$5, 0)), 0)</f>
        <v>0</v>
      </c>
      <c r="D89" s="727" t="s">
        <v>516</v>
      </c>
      <c r="E89" s="728"/>
    </row>
    <row r="90" spans="1:5">
      <c r="A90" s="478" cm="1">
        <f t="array" ref="A90">INDEX('Master Mapping'!O:O, MATCH(TRUE, EXACT(TEXT(LEFT(TRIM(D90), 7), "@"), 'Master Mapping'!A:A), 0))</f>
        <v>7</v>
      </c>
      <c r="B90" s="731">
        <f t="shared" si="1"/>
        <v>20.8</v>
      </c>
      <c r="C90" s="731">
        <f>IFERROR(INDEX('P&amp;L SR 1'!A:ZZ, MATCH(D90, 'P&amp;L SR 1'!B:B, 0), MATCH("TOTAL", 'P&amp;L SR 1'!$5:$5, 0)), 0)</f>
        <v>0</v>
      </c>
      <c r="D90" s="727" t="s">
        <v>4299</v>
      </c>
      <c r="E90" s="729">
        <f>20.8</f>
        <v>20.8</v>
      </c>
    </row>
    <row r="91" spans="1:5">
      <c r="A91" s="478" cm="1">
        <f t="array" ref="A91">INDEX('Master Mapping'!O:O, MATCH(TRUE, EXACT(TEXT(LEFT(TRIM(D91), 7), "@"), 'Master Mapping'!A:A), 0))</f>
        <v>8</v>
      </c>
      <c r="B91" s="731">
        <f t="shared" si="1"/>
        <v>9325</v>
      </c>
      <c r="C91" s="731">
        <f>IFERROR(INDEX('P&amp;L SR 1'!A:ZZ, MATCH(D91, 'P&amp;L SR 1'!B:B, 0), MATCH("TOTAL", 'P&amp;L SR 1'!$5:$5, 0)), 0)</f>
        <v>0</v>
      </c>
      <c r="D91" s="727" t="s">
        <v>517</v>
      </c>
      <c r="E91" s="729">
        <f>9325</f>
        <v>9325</v>
      </c>
    </row>
    <row r="92" spans="1:5">
      <c r="A92" s="478" cm="1">
        <f t="array" ref="A92">INDEX('Master Mapping'!O:O, MATCH(TRUE, EXACT(TEXT(LEFT(TRIM(D92), 7), "@"), 'Master Mapping'!A:A), 0))</f>
        <v>13</v>
      </c>
      <c r="B92" s="731">
        <f t="shared" si="1"/>
        <v>20.8</v>
      </c>
      <c r="C92" s="731">
        <f>IFERROR(INDEX('P&amp;L SR 1'!A:ZZ, MATCH(D92, 'P&amp;L SR 1'!B:B, 0), MATCH("TOTAL", 'P&amp;L SR 1'!$5:$5, 0)), 0)</f>
        <v>0</v>
      </c>
      <c r="D92" s="727" t="s">
        <v>4300</v>
      </c>
      <c r="E92" s="729">
        <f>20.8</f>
        <v>20.8</v>
      </c>
    </row>
    <row r="93" spans="1:5">
      <c r="A93" s="478" cm="1">
        <f t="array" ref="A93">INDEX('Master Mapping'!O:O, MATCH(TRUE, EXACT(TEXT(LEFT(TRIM(D93), 7), "@"), 'Master Mapping'!A:A), 0))</f>
        <v>13</v>
      </c>
      <c r="B93" s="731">
        <f t="shared" si="1"/>
        <v>17241.25</v>
      </c>
      <c r="C93" s="731">
        <f>IFERROR(INDEX('P&amp;L SR 1'!A:ZZ, MATCH(D93, 'P&amp;L SR 1'!B:B, 0), MATCH("TOTAL", 'P&amp;L SR 1'!$5:$5, 0)), 0)</f>
        <v>0</v>
      </c>
      <c r="D93" s="727" t="s">
        <v>518</v>
      </c>
      <c r="E93" s="729">
        <f>17241.25</f>
        <v>17241.25</v>
      </c>
    </row>
    <row r="94" spans="1:5">
      <c r="A94" s="478" cm="1">
        <f t="array" ref="A94">INDEX('Master Mapping'!O:O, MATCH(TRUE, EXACT(TEXT(LEFT(TRIM(D94), 7), "@"), 'Master Mapping'!A:A), 0))</f>
        <v>13</v>
      </c>
      <c r="B94" s="731">
        <f t="shared" si="1"/>
        <v>22185</v>
      </c>
      <c r="C94" s="731">
        <f>IFERROR(INDEX('P&amp;L SR 1'!A:ZZ, MATCH(D94, 'P&amp;L SR 1'!B:B, 0), MATCH("TOTAL", 'P&amp;L SR 1'!$5:$5, 0)), 0)</f>
        <v>0</v>
      </c>
      <c r="D94" s="727" t="s">
        <v>735</v>
      </c>
      <c r="E94" s="729">
        <f>22185</f>
        <v>22185</v>
      </c>
    </row>
    <row r="95" spans="1:5">
      <c r="A95" s="478" cm="1">
        <f t="array" ref="A95">INDEX('Master Mapping'!O:O, MATCH(TRUE, EXACT(TEXT(LEFT(TRIM(D95), 7), "@"), 'Master Mapping'!A:A), 0))</f>
        <v>14</v>
      </c>
      <c r="B95" s="731">
        <f t="shared" si="1"/>
        <v>36211.230000000003</v>
      </c>
      <c r="C95" s="731">
        <f>IFERROR(INDEX('P&amp;L SR 1'!A:ZZ, MATCH(D95, 'P&amp;L SR 1'!B:B, 0), MATCH("TOTAL", 'P&amp;L SR 1'!$5:$5, 0)), 0)</f>
        <v>0</v>
      </c>
      <c r="D95" s="727" t="s">
        <v>519</v>
      </c>
      <c r="E95" s="729">
        <f>36211.23</f>
        <v>36211.230000000003</v>
      </c>
    </row>
    <row r="96" spans="1:5">
      <c r="A96" s="478" cm="1">
        <f t="array" ref="A96">INDEX('Master Mapping'!O:O, MATCH(TRUE, EXACT(TEXT(LEFT(TRIM(D96), 7), "@"), 'Master Mapping'!A:A), 0))</f>
        <v>14</v>
      </c>
      <c r="B96" s="731">
        <f t="shared" si="1"/>
        <v>7637.5</v>
      </c>
      <c r="C96" s="731">
        <f>IFERROR(INDEX('P&amp;L SR 1'!A:ZZ, MATCH(D96, 'P&amp;L SR 1'!B:B, 0), MATCH("TOTAL", 'P&amp;L SR 1'!$5:$5, 0)), 0)</f>
        <v>0</v>
      </c>
      <c r="D96" s="727" t="s">
        <v>520</v>
      </c>
      <c r="E96" s="729">
        <f>7637.5</f>
        <v>7637.5</v>
      </c>
    </row>
    <row r="97" spans="1:5">
      <c r="A97" s="478" cm="1">
        <f t="array" ref="A97">INDEX('Master Mapping'!O:O, MATCH(TRUE, EXACT(TEXT(LEFT(TRIM(D97), 7), "@"), 'Master Mapping'!A:A), 0))</f>
        <v>16</v>
      </c>
      <c r="B97" s="731">
        <f t="shared" si="1"/>
        <v>14546.4</v>
      </c>
      <c r="C97" s="731">
        <f>IFERROR(INDEX('P&amp;L SR 1'!A:ZZ, MATCH(D97, 'P&amp;L SR 1'!B:B, 0), MATCH("TOTAL", 'P&amp;L SR 1'!$5:$5, 0)), 0)</f>
        <v>0</v>
      </c>
      <c r="D97" s="727" t="s">
        <v>521</v>
      </c>
      <c r="E97" s="729">
        <f>14546.4</f>
        <v>14546.4</v>
      </c>
    </row>
    <row r="98" spans="1:5">
      <c r="A98" s="478" cm="1">
        <f t="array" ref="A98">INDEX('Master Mapping'!O:O, MATCH(TRUE, EXACT(TEXT(LEFT(TRIM(D98), 7), "@"), 'Master Mapping'!A:A), 0))</f>
        <v>17</v>
      </c>
      <c r="B98" s="731">
        <f t="shared" si="1"/>
        <v>31937.019999999997</v>
      </c>
      <c r="C98" s="731">
        <f>IFERROR(INDEX('P&amp;L SR 1'!A:ZZ, MATCH(D98, 'P&amp;L SR 1'!B:B, 0), MATCH("TOTAL", 'P&amp;L SR 1'!$5:$5, 0)), 0)</f>
        <v>9188</v>
      </c>
      <c r="D98" s="727" t="s">
        <v>522</v>
      </c>
      <c r="E98" s="729">
        <f>41125.02</f>
        <v>41125.019999999997</v>
      </c>
    </row>
    <row r="99" spans="1:5">
      <c r="A99" s="478" cm="1">
        <f t="array" ref="A99">INDEX('Master Mapping'!O:O, MATCH(TRUE, EXACT(TEXT(LEFT(TRIM(D99), 7), "@"), 'Master Mapping'!A:A), 0))</f>
        <v>18</v>
      </c>
      <c r="B99" s="731">
        <f t="shared" si="1"/>
        <v>5112</v>
      </c>
      <c r="C99" s="731">
        <f>IFERROR(INDEX('P&amp;L SR 1'!A:ZZ, MATCH(D99, 'P&amp;L SR 1'!B:B, 0), MATCH("TOTAL", 'P&amp;L SR 1'!$5:$5, 0)), 0)</f>
        <v>0</v>
      </c>
      <c r="D99" s="727" t="s">
        <v>523</v>
      </c>
      <c r="E99" s="729">
        <f>5112</f>
        <v>5112</v>
      </c>
    </row>
    <row r="100" spans="1:5">
      <c r="A100" s="478" cm="1">
        <f t="array" ref="A100">INDEX('Master Mapping'!O:O, MATCH(TRUE, EXACT(TEXT(LEFT(TRIM(D100), 7), "@"), 'Master Mapping'!A:A), 0))</f>
        <v>20</v>
      </c>
      <c r="B100" s="731">
        <f t="shared" si="1"/>
        <v>34728.449999999997</v>
      </c>
      <c r="C100" s="731">
        <f>IFERROR(INDEX('P&amp;L SR 1'!A:ZZ, MATCH(D100, 'P&amp;L SR 1'!B:B, 0), MATCH("TOTAL", 'P&amp;L SR 1'!$5:$5, 0)), 0)</f>
        <v>0</v>
      </c>
      <c r="D100" s="727" t="s">
        <v>524</v>
      </c>
      <c r="E100" s="729">
        <f>34728.45</f>
        <v>34728.449999999997</v>
      </c>
    </row>
    <row r="101" spans="1:5">
      <c r="A101" s="478" cm="1">
        <f t="array" ref="A101">INDEX('Master Mapping'!O:O, MATCH(TRUE, EXACT(TEXT(LEFT(TRIM(D101), 7), "@"), 'Master Mapping'!A:A), 0))</f>
        <v>15</v>
      </c>
      <c r="B101" s="731">
        <f t="shared" si="1"/>
        <v>2356.06</v>
      </c>
      <c r="C101" s="731">
        <f>IFERROR(INDEX('P&amp;L SR 1'!A:ZZ, MATCH(D101, 'P&amp;L SR 1'!B:B, 0), MATCH("TOTAL", 'P&amp;L SR 1'!$5:$5, 0)), 0)</f>
        <v>0</v>
      </c>
      <c r="D101" s="727" t="s">
        <v>525</v>
      </c>
      <c r="E101" s="729">
        <f>2356.06</f>
        <v>2356.06</v>
      </c>
    </row>
    <row r="102" spans="1:5">
      <c r="A102" s="478" cm="1">
        <f t="array" ref="A102">INDEX('Master Mapping'!O:O, MATCH(TRUE, EXACT(TEXT(LEFT(TRIM(D102), 7), "@"), 'Master Mapping'!A:A), 0))</f>
        <v>20</v>
      </c>
      <c r="B102" s="731">
        <f t="shared" si="1"/>
        <v>1035.22</v>
      </c>
      <c r="C102" s="731">
        <f>IFERROR(INDEX('P&amp;L SR 1'!A:ZZ, MATCH(D102, 'P&amp;L SR 1'!B:B, 0), MATCH("TOTAL", 'P&amp;L SR 1'!$5:$5, 0)), 0)</f>
        <v>0</v>
      </c>
      <c r="D102" s="727" t="s">
        <v>527</v>
      </c>
      <c r="E102" s="729">
        <f>1035.22</f>
        <v>1035.22</v>
      </c>
    </row>
    <row r="103" spans="1:5">
      <c r="A103" s="478" cm="1">
        <f t="array" ref="A103">INDEX('Master Mapping'!O:O, MATCH(TRUE, EXACT(TEXT(LEFT(TRIM(D103), 7), "@"), 'Master Mapping'!A:A), 0))</f>
        <v>17</v>
      </c>
      <c r="B103" s="731">
        <f t="shared" si="1"/>
        <v>5470.24</v>
      </c>
      <c r="C103" s="731">
        <f>IFERROR(INDEX('P&amp;L SR 1'!A:ZZ, MATCH(D103, 'P&amp;L SR 1'!B:B, 0), MATCH("TOTAL", 'P&amp;L SR 1'!$5:$5, 0)), 0)</f>
        <v>0</v>
      </c>
      <c r="D103" s="727" t="s">
        <v>528</v>
      </c>
      <c r="E103" s="729">
        <f>5470.24</f>
        <v>5470.24</v>
      </c>
    </row>
    <row r="104" spans="1:5">
      <c r="A104" s="478" cm="1">
        <f t="array" ref="A104">INDEX('Master Mapping'!O:O, MATCH(TRUE, EXACT(TEXT(LEFT(TRIM(D104), 7), "@"), 'Master Mapping'!A:A), 0))</f>
        <v>20</v>
      </c>
      <c r="B104" s="731">
        <f t="shared" si="1"/>
        <v>72338.42</v>
      </c>
      <c r="C104" s="731">
        <f>IFERROR(INDEX('P&amp;L SR 1'!A:ZZ, MATCH(D104, 'P&amp;L SR 1'!B:B, 0), MATCH("TOTAL", 'P&amp;L SR 1'!$5:$5, 0)), 0)</f>
        <v>0</v>
      </c>
      <c r="D104" s="727" t="s">
        <v>529</v>
      </c>
      <c r="E104" s="729">
        <f>72338.42</f>
        <v>72338.42</v>
      </c>
    </row>
    <row r="105" spans="1:5">
      <c r="A105" s="478" t="e" cm="1">
        <f t="array" ref="A105">INDEX('Master Mapping'!O:O, MATCH(TRUE, EXACT(TEXT(LEFT(TRIM(D105), 7), "@"), 'Master Mapping'!A:A), 0))</f>
        <v>#N/A</v>
      </c>
      <c r="B105" s="731">
        <f t="shared" si="1"/>
        <v>260165.39</v>
      </c>
      <c r="C105" s="731">
        <f>IFERROR(INDEX('P&amp;L SR 1'!A:ZZ, MATCH(D105, 'P&amp;L SR 1'!B:B, 0), MATCH("TOTAL", 'P&amp;L SR 1'!$5:$5, 0)), 0)</f>
        <v>9188</v>
      </c>
      <c r="D105" s="727" t="s">
        <v>530</v>
      </c>
      <c r="E105" s="730">
        <f>(((((((((((((((E89)+(E90))+(E91))+(E92))+(E93))+(E94))+(E95))+(E96))+(E97))+(E98))+(E99))+(E100))+(E101))+(E102))+(E103))+(E104)</f>
        <v>269353.39</v>
      </c>
    </row>
    <row r="106" spans="1:5">
      <c r="A106" s="478" t="e" cm="1">
        <f t="array" ref="A106">INDEX('Master Mapping'!O:O, MATCH(TRUE, EXACT(TEXT(LEFT(TRIM(D106), 7), "@"), 'Master Mapping'!A:A), 0))</f>
        <v>#N/A</v>
      </c>
      <c r="B106" s="731">
        <f t="shared" si="1"/>
        <v>0</v>
      </c>
      <c r="C106" s="731">
        <f>IFERROR(INDEX('P&amp;L SR 1'!A:ZZ, MATCH(D106, 'P&amp;L SR 1'!B:B, 0), MATCH("TOTAL", 'P&amp;L SR 1'!$5:$5, 0)), 0)</f>
        <v>0</v>
      </c>
      <c r="D106" s="727" t="s">
        <v>531</v>
      </c>
      <c r="E106" s="728"/>
    </row>
    <row r="107" spans="1:5">
      <c r="A107" s="478" cm="1">
        <f t="array" ref="A107">INDEX('Master Mapping'!O:O, MATCH(TRUE, EXACT(TEXT(LEFT(TRIM(D107), 7), "@"), 'Master Mapping'!A:A), 0))</f>
        <v>15</v>
      </c>
      <c r="B107" s="731">
        <f t="shared" si="1"/>
        <v>10704.96</v>
      </c>
      <c r="C107" s="731">
        <f>IFERROR(INDEX('P&amp;L SR 1'!A:ZZ, MATCH(D107, 'P&amp;L SR 1'!B:B, 0), MATCH("TOTAL", 'P&amp;L SR 1'!$5:$5, 0)), 0)</f>
        <v>0</v>
      </c>
      <c r="D107" s="727" t="s">
        <v>532</v>
      </c>
      <c r="E107" s="729">
        <f>10704.96</f>
        <v>10704.96</v>
      </c>
    </row>
    <row r="108" spans="1:5">
      <c r="A108" s="478" cm="1">
        <f t="array" ref="A108">INDEX('Master Mapping'!O:O, MATCH(TRUE, EXACT(TEXT(LEFT(TRIM(D108), 7), "@"), 'Master Mapping'!A:A), 0))</f>
        <v>18</v>
      </c>
      <c r="B108" s="731">
        <f t="shared" si="1"/>
        <v>1997.78</v>
      </c>
      <c r="C108" s="731">
        <f>IFERROR(INDEX('P&amp;L SR 1'!A:ZZ, MATCH(D108, 'P&amp;L SR 1'!B:B, 0), MATCH("TOTAL", 'P&amp;L SR 1'!$5:$5, 0)), 0)</f>
        <v>0</v>
      </c>
      <c r="D108" s="727" t="s">
        <v>533</v>
      </c>
      <c r="E108" s="729">
        <f>1997.78</f>
        <v>1997.78</v>
      </c>
    </row>
    <row r="109" spans="1:5">
      <c r="A109" s="478" cm="1">
        <f t="array" ref="A109">INDEX('Master Mapping'!O:O, MATCH(TRUE, EXACT(TEXT(LEFT(TRIM(D109), 7), "@"), 'Master Mapping'!A:A), 0))</f>
        <v>18</v>
      </c>
      <c r="B109" s="731">
        <f t="shared" si="1"/>
        <v>2503.52</v>
      </c>
      <c r="C109" s="731">
        <f>IFERROR(INDEX('P&amp;L SR 1'!A:ZZ, MATCH(D109, 'P&amp;L SR 1'!B:B, 0), MATCH("TOTAL", 'P&amp;L SR 1'!$5:$5, 0)), 0)</f>
        <v>0</v>
      </c>
      <c r="D109" s="727" t="s">
        <v>534</v>
      </c>
      <c r="E109" s="729">
        <f>2503.52</f>
        <v>2503.52</v>
      </c>
    </row>
    <row r="110" spans="1:5">
      <c r="A110" s="478" cm="1">
        <f t="array" ref="A110">INDEX('Master Mapping'!O:O, MATCH(TRUE, EXACT(TEXT(LEFT(TRIM(D110), 7), "@"), 'Master Mapping'!A:A), 0))</f>
        <v>18</v>
      </c>
      <c r="B110" s="731">
        <f t="shared" si="1"/>
        <v>8544.86</v>
      </c>
      <c r="C110" s="731">
        <f>IFERROR(INDEX('P&amp;L SR 1'!A:ZZ, MATCH(D110, 'P&amp;L SR 1'!B:B, 0), MATCH("TOTAL", 'P&amp;L SR 1'!$5:$5, 0)), 0)</f>
        <v>0</v>
      </c>
      <c r="D110" s="727" t="s">
        <v>535</v>
      </c>
      <c r="E110" s="729">
        <f>8544.86</f>
        <v>8544.86</v>
      </c>
    </row>
    <row r="111" spans="1:5">
      <c r="A111" s="478" cm="1">
        <f t="array" ref="A111">INDEX('Master Mapping'!O:O, MATCH(TRUE, EXACT(TEXT(LEFT(TRIM(D111), 7), "@"), 'Master Mapping'!A:A), 0))</f>
        <v>18</v>
      </c>
      <c r="B111" s="731">
        <f t="shared" si="1"/>
        <v>1474</v>
      </c>
      <c r="C111" s="731">
        <f>IFERROR(INDEX('P&amp;L SR 1'!A:ZZ, MATCH(D111, 'P&amp;L SR 1'!B:B, 0), MATCH("TOTAL", 'P&amp;L SR 1'!$5:$5, 0)), 0)</f>
        <v>0</v>
      </c>
      <c r="D111" s="727" t="s">
        <v>536</v>
      </c>
      <c r="E111" s="729">
        <f>1474</f>
        <v>1474</v>
      </c>
    </row>
    <row r="112" spans="1:5">
      <c r="A112" s="478" cm="1">
        <f t="array" ref="A112">INDEX('Master Mapping'!O:O, MATCH(TRUE, EXACT(TEXT(LEFT(TRIM(D112), 7), "@"), 'Master Mapping'!A:A), 0))</f>
        <v>18</v>
      </c>
      <c r="B112" s="731">
        <f t="shared" si="1"/>
        <v>8717.5</v>
      </c>
      <c r="C112" s="731">
        <f>IFERROR(INDEX('P&amp;L SR 1'!A:ZZ, MATCH(D112, 'P&amp;L SR 1'!B:B, 0), MATCH("TOTAL", 'P&amp;L SR 1'!$5:$5, 0)), 0)</f>
        <v>0</v>
      </c>
      <c r="D112" s="727" t="s">
        <v>537</v>
      </c>
      <c r="E112" s="729">
        <f>8717.5</f>
        <v>8717.5</v>
      </c>
    </row>
    <row r="113" spans="1:5">
      <c r="A113" s="478" cm="1">
        <f t="array" ref="A113">INDEX('Master Mapping'!O:O, MATCH(TRUE, EXACT(TEXT(LEFT(TRIM(D113), 7), "@"), 'Master Mapping'!A:A), 0))</f>
        <v>18</v>
      </c>
      <c r="B113" s="731">
        <f t="shared" si="1"/>
        <v>31846.38</v>
      </c>
      <c r="C113" s="731">
        <f>IFERROR(INDEX('P&amp;L SR 1'!A:ZZ, MATCH(D113, 'P&amp;L SR 1'!B:B, 0), MATCH("TOTAL", 'P&amp;L SR 1'!$5:$5, 0)), 0)</f>
        <v>0</v>
      </c>
      <c r="D113" s="727" t="s">
        <v>538</v>
      </c>
      <c r="E113" s="729">
        <f>31846.38</f>
        <v>31846.38</v>
      </c>
    </row>
    <row r="114" spans="1:5">
      <c r="A114" s="478" cm="1">
        <f t="array" ref="A114">INDEX('Master Mapping'!O:O, MATCH(TRUE, EXACT(TEXT(LEFT(TRIM(D114), 7), "@"), 'Master Mapping'!A:A), 0))</f>
        <v>21</v>
      </c>
      <c r="B114" s="731">
        <f t="shared" si="1"/>
        <v>7977.32</v>
      </c>
      <c r="C114" s="731">
        <f>IFERROR(INDEX('P&amp;L SR 1'!A:ZZ, MATCH(D114, 'P&amp;L SR 1'!B:B, 0), MATCH("TOTAL", 'P&amp;L SR 1'!$5:$5, 0)), 0)</f>
        <v>2150.9899999999998</v>
      </c>
      <c r="D114" s="727" t="s">
        <v>539</v>
      </c>
      <c r="E114" s="729">
        <f>10128.31</f>
        <v>10128.31</v>
      </c>
    </row>
    <row r="115" spans="1:5">
      <c r="A115" s="478" cm="1">
        <f t="array" ref="A115">INDEX('Master Mapping'!O:O, MATCH(TRUE, EXACT(TEXT(LEFT(TRIM(D115), 7), "@"), 'Master Mapping'!A:A), 0))</f>
        <v>16</v>
      </c>
      <c r="B115" s="731">
        <f t="shared" si="1"/>
        <v>10024.99</v>
      </c>
      <c r="C115" s="731">
        <f>IFERROR(INDEX('P&amp;L SR 1'!A:ZZ, MATCH(D115, 'P&amp;L SR 1'!B:B, 0), MATCH("TOTAL", 'P&amp;L SR 1'!$5:$5, 0)), 0)</f>
        <v>0</v>
      </c>
      <c r="D115" s="727" t="s">
        <v>279</v>
      </c>
      <c r="E115" s="729">
        <f>10024.99</f>
        <v>10024.99</v>
      </c>
    </row>
    <row r="116" spans="1:5">
      <c r="A116" s="478" t="e" cm="1">
        <f t="array" ref="A116">INDEX('Master Mapping'!O:O, MATCH(TRUE, EXACT(TEXT(LEFT(TRIM(D116), 7), "@"), 'Master Mapping'!A:A), 0))</f>
        <v>#N/A</v>
      </c>
      <c r="B116" s="731">
        <f t="shared" si="1"/>
        <v>83791.31</v>
      </c>
      <c r="C116" s="731">
        <f>IFERROR(INDEX('P&amp;L SR 1'!A:ZZ, MATCH(D116, 'P&amp;L SR 1'!B:B, 0), MATCH("TOTAL", 'P&amp;L SR 1'!$5:$5, 0)), 0)</f>
        <v>2150.9899999999998</v>
      </c>
      <c r="D116" s="727" t="s">
        <v>541</v>
      </c>
      <c r="E116" s="730">
        <f>(((((((((E106)+(E107))+(E108))+(E109))+(E110))+(E111))+(E112))+(E113))+(E114))+(E115)</f>
        <v>85942.3</v>
      </c>
    </row>
    <row r="117" spans="1:5">
      <c r="A117" s="478" t="e" cm="1">
        <f t="array" ref="A117">INDEX('Master Mapping'!O:O, MATCH(TRUE, EXACT(TEXT(LEFT(TRIM(D117), 7), "@"), 'Master Mapping'!A:A), 0))</f>
        <v>#N/A</v>
      </c>
      <c r="B117" s="731">
        <f t="shared" si="1"/>
        <v>0</v>
      </c>
      <c r="C117" s="731">
        <f>IFERROR(INDEX('P&amp;L SR 1'!A:ZZ, MATCH(D117, 'P&amp;L SR 1'!B:B, 0), MATCH("TOTAL", 'P&amp;L SR 1'!$5:$5, 0)), 0)</f>
        <v>0</v>
      </c>
      <c r="D117" s="727" t="s">
        <v>542</v>
      </c>
      <c r="E117" s="728"/>
    </row>
    <row r="118" spans="1:5">
      <c r="A118" s="478" cm="1">
        <f t="array" ref="A118">INDEX('Master Mapping'!O:O, MATCH(TRUE, EXACT(TEXT(LEFT(TRIM(D118), 7), "@"), 'Master Mapping'!A:A), 0))</f>
        <v>7</v>
      </c>
      <c r="B118" s="731">
        <f t="shared" si="1"/>
        <v>9931.15</v>
      </c>
      <c r="C118" s="731">
        <f>IFERROR(INDEX('P&amp;L SR 1'!A:ZZ, MATCH(D118, 'P&amp;L SR 1'!B:B, 0), MATCH("TOTAL", 'P&amp;L SR 1'!$5:$5, 0)), 0)</f>
        <v>0</v>
      </c>
      <c r="D118" s="727" t="s">
        <v>4301</v>
      </c>
      <c r="E118" s="729">
        <f>9931.15</f>
        <v>9931.15</v>
      </c>
    </row>
    <row r="119" spans="1:5">
      <c r="A119" s="478" cm="1">
        <f t="array" ref="A119">INDEX('Master Mapping'!O:O, MATCH(TRUE, EXACT(TEXT(LEFT(TRIM(D119), 7), "@"), 'Master Mapping'!A:A), 0))</f>
        <v>19</v>
      </c>
      <c r="B119" s="731">
        <f t="shared" si="1"/>
        <v>85845.8</v>
      </c>
      <c r="C119" s="731">
        <f>IFERROR(INDEX('P&amp;L SR 1'!A:ZZ, MATCH(D119, 'P&amp;L SR 1'!B:B, 0), MATCH("TOTAL", 'P&amp;L SR 1'!$5:$5, 0)), 0)</f>
        <v>0</v>
      </c>
      <c r="D119" s="727" t="s">
        <v>543</v>
      </c>
      <c r="E119" s="729">
        <f>85845.8</f>
        <v>85845.8</v>
      </c>
    </row>
    <row r="120" spans="1:5">
      <c r="A120" s="478" cm="1">
        <f t="array" ref="A120">INDEX('Master Mapping'!O:O, MATCH(TRUE, EXACT(TEXT(LEFT(TRIM(D120), 7), "@"), 'Master Mapping'!A:A), 0))</f>
        <v>15</v>
      </c>
      <c r="B120" s="731">
        <f t="shared" si="1"/>
        <v>11585.75</v>
      </c>
      <c r="C120" s="731">
        <f>IFERROR(INDEX('P&amp;L SR 1'!A:ZZ, MATCH(D120, 'P&amp;L SR 1'!B:B, 0), MATCH("TOTAL", 'P&amp;L SR 1'!$5:$5, 0)), 0)</f>
        <v>0</v>
      </c>
      <c r="D120" s="727" t="s">
        <v>544</v>
      </c>
      <c r="E120" s="729">
        <f>11585.75</f>
        <v>11585.75</v>
      </c>
    </row>
    <row r="121" spans="1:5">
      <c r="A121" s="478" cm="1">
        <f t="array" ref="A121">INDEX('Master Mapping'!O:O, MATCH(TRUE, EXACT(TEXT(LEFT(TRIM(D121), 7), "@"), 'Master Mapping'!A:A), 0))</f>
        <v>18</v>
      </c>
      <c r="B121" s="731">
        <f t="shared" si="1"/>
        <v>35541.230000000003</v>
      </c>
      <c r="C121" s="731">
        <f>IFERROR(INDEX('P&amp;L SR 1'!A:ZZ, MATCH(D121, 'P&amp;L SR 1'!B:B, 0), MATCH("TOTAL", 'P&amp;L SR 1'!$5:$5, 0)), 0)</f>
        <v>0</v>
      </c>
      <c r="D121" s="727" t="s">
        <v>280</v>
      </c>
      <c r="E121" s="729">
        <f>35541.23</f>
        <v>35541.230000000003</v>
      </c>
    </row>
    <row r="122" spans="1:5">
      <c r="A122" s="478" cm="1">
        <f t="array" ref="A122">INDEX('Master Mapping'!O:O, MATCH(TRUE, EXACT(TEXT(LEFT(TRIM(D122), 7), "@"), 'Master Mapping'!A:A), 0))</f>
        <v>16</v>
      </c>
      <c r="B122" s="731">
        <f t="shared" si="1"/>
        <v>20448.18</v>
      </c>
      <c r="C122" s="731">
        <f>IFERROR(INDEX('P&amp;L SR 1'!A:ZZ, MATCH(D122, 'P&amp;L SR 1'!B:B, 0), MATCH("TOTAL", 'P&amp;L SR 1'!$5:$5, 0)), 0)</f>
        <v>0</v>
      </c>
      <c r="D122" s="727" t="s">
        <v>546</v>
      </c>
      <c r="E122" s="729">
        <f>20448.18</f>
        <v>20448.18</v>
      </c>
    </row>
    <row r="123" spans="1:5">
      <c r="A123" s="478" cm="1">
        <f t="array" ref="A123">INDEX('Master Mapping'!O:O, MATCH(TRUE, EXACT(TEXT(LEFT(TRIM(D123), 7), "@"), 'Master Mapping'!A:A), 0))</f>
        <v>15</v>
      </c>
      <c r="B123" s="731">
        <f t="shared" si="1"/>
        <v>495.03</v>
      </c>
      <c r="C123" s="731">
        <f>IFERROR(INDEX('P&amp;L SR 1'!A:ZZ, MATCH(D123, 'P&amp;L SR 1'!B:B, 0), MATCH("TOTAL", 'P&amp;L SR 1'!$5:$5, 0)), 0)</f>
        <v>0</v>
      </c>
      <c r="D123" s="727" t="s">
        <v>273</v>
      </c>
      <c r="E123" s="729">
        <f>495.03</f>
        <v>495.03</v>
      </c>
    </row>
    <row r="124" spans="1:5">
      <c r="A124" s="478" cm="1">
        <f t="array" ref="A124">INDEX('Master Mapping'!O:O, MATCH(TRUE, EXACT(TEXT(LEFT(TRIM(D124), 7), "@"), 'Master Mapping'!A:A), 0))</f>
        <v>21</v>
      </c>
      <c r="B124" s="731">
        <f t="shared" si="1"/>
        <v>0</v>
      </c>
      <c r="C124" s="731">
        <f>IFERROR(INDEX('P&amp;L SR 1'!A:ZZ, MATCH(D124, 'P&amp;L SR 1'!B:B, 0), MATCH("TOTAL", 'P&amp;L SR 1'!$5:$5, 0)), 0)</f>
        <v>50139.82</v>
      </c>
      <c r="D124" s="727" t="s">
        <v>547</v>
      </c>
      <c r="E124" s="729">
        <f>50139.82</f>
        <v>50139.82</v>
      </c>
    </row>
    <row r="125" spans="1:5">
      <c r="A125" s="478" cm="1">
        <f t="array" ref="A125">INDEX('Master Mapping'!O:O, MATCH(TRUE, EXACT(TEXT(LEFT(TRIM(D125), 7), "@"), 'Master Mapping'!A:A), 0))</f>
        <v>16</v>
      </c>
      <c r="B125" s="731">
        <f t="shared" si="1"/>
        <v>474.1</v>
      </c>
      <c r="C125" s="731">
        <f>IFERROR(INDEX('P&amp;L SR 1'!A:ZZ, MATCH(D125, 'P&amp;L SR 1'!B:B, 0), MATCH("TOTAL", 'P&amp;L SR 1'!$5:$5, 0)), 0)</f>
        <v>0</v>
      </c>
      <c r="D125" s="727" t="s">
        <v>548</v>
      </c>
      <c r="E125" s="729">
        <f>474.1</f>
        <v>474.1</v>
      </c>
    </row>
    <row r="126" spans="1:5">
      <c r="A126" s="478" t="e" cm="1">
        <f t="array" ref="A126">INDEX('Master Mapping'!O:O, MATCH(TRUE, EXACT(TEXT(LEFT(TRIM(D126), 7), "@"), 'Master Mapping'!A:A), 0))</f>
        <v>#N/A</v>
      </c>
      <c r="B126" s="731">
        <f t="shared" si="1"/>
        <v>164321.24</v>
      </c>
      <c r="C126" s="731">
        <f>IFERROR(INDEX('P&amp;L SR 1'!A:ZZ, MATCH(D126, 'P&amp;L SR 1'!B:B, 0), MATCH("TOTAL", 'P&amp;L SR 1'!$5:$5, 0)), 0)</f>
        <v>50139.82</v>
      </c>
      <c r="D126" s="727" t="s">
        <v>549</v>
      </c>
      <c r="E126" s="730">
        <f>((((((((E117)+(E118))+(E119))+(E120))+(E121))+(E122))+(E123))+(E124))+(E125)</f>
        <v>214461.06</v>
      </c>
    </row>
    <row r="127" spans="1:5">
      <c r="A127" s="478" t="e" cm="1">
        <f t="array" ref="A127">INDEX('Master Mapping'!O:O, MATCH(TRUE, EXACT(TEXT(LEFT(TRIM(D127), 7), "@"), 'Master Mapping'!A:A), 0))</f>
        <v>#N/A</v>
      </c>
      <c r="B127" s="731">
        <f t="shared" si="1"/>
        <v>0</v>
      </c>
      <c r="C127" s="731">
        <f>IFERROR(INDEX('P&amp;L SR 1'!A:ZZ, MATCH(D127, 'P&amp;L SR 1'!B:B, 0), MATCH("TOTAL", 'P&amp;L SR 1'!$5:$5, 0)), 0)</f>
        <v>0</v>
      </c>
      <c r="D127" s="727" t="s">
        <v>274</v>
      </c>
      <c r="E127" s="728"/>
    </row>
    <row r="128" spans="1:5">
      <c r="A128" s="478" cm="1">
        <f t="array" ref="A128">INDEX('Master Mapping'!O:O, MATCH(TRUE, EXACT(TEXT(LEFT(TRIM(D128), 7), "@"), 'Master Mapping'!A:A), 0))</f>
        <v>7</v>
      </c>
      <c r="B128" s="731">
        <f t="shared" si="1"/>
        <v>55553.840000000004</v>
      </c>
      <c r="C128" s="731">
        <f>IFERROR(INDEX('P&amp;L SR 1'!A:ZZ, MATCH(D128, 'P&amp;L SR 1'!B:B, 0), MATCH("TOTAL", 'P&amp;L SR 1'!$5:$5, 0)), 0)</f>
        <v>10853.1</v>
      </c>
      <c r="D128" s="727" t="s">
        <v>550</v>
      </c>
      <c r="E128" s="729">
        <f>66406.94</f>
        <v>66406.94</v>
      </c>
    </row>
    <row r="129" spans="1:5">
      <c r="A129" s="478" cm="1">
        <f t="array" ref="A129">INDEX('Master Mapping'!O:O, MATCH(TRUE, EXACT(TEXT(LEFT(TRIM(D129), 7), "@"), 'Master Mapping'!A:A), 0))</f>
        <v>8</v>
      </c>
      <c r="B129" s="731">
        <f t="shared" si="1"/>
        <v>19458</v>
      </c>
      <c r="C129" s="731">
        <f>IFERROR(INDEX('P&amp;L SR 1'!A:ZZ, MATCH(D129, 'P&amp;L SR 1'!B:B, 0), MATCH("TOTAL", 'P&amp;L SR 1'!$5:$5, 0)), 0)</f>
        <v>0</v>
      </c>
      <c r="D129" s="727" t="s">
        <v>551</v>
      </c>
      <c r="E129" s="729">
        <f>19458</f>
        <v>19458</v>
      </c>
    </row>
    <row r="130" spans="1:5">
      <c r="A130" s="478" cm="1">
        <f t="array" ref="A130">INDEX('Master Mapping'!O:O, MATCH(TRUE, EXACT(TEXT(LEFT(TRIM(D130), 7), "@"), 'Master Mapping'!A:A), 0))</f>
        <v>14</v>
      </c>
      <c r="B130" s="731">
        <f t="shared" si="1"/>
        <v>5719.4</v>
      </c>
      <c r="C130" s="731">
        <f>IFERROR(INDEX('P&amp;L SR 1'!A:ZZ, MATCH(D130, 'P&amp;L SR 1'!B:B, 0), MATCH("TOTAL", 'P&amp;L SR 1'!$5:$5, 0)), 0)</f>
        <v>0</v>
      </c>
      <c r="D130" s="727" t="s">
        <v>552</v>
      </c>
      <c r="E130" s="729">
        <f>5719.4</f>
        <v>5719.4</v>
      </c>
    </row>
    <row r="131" spans="1:5">
      <c r="A131" s="478" cm="1">
        <f t="array" ref="A131">INDEX('Master Mapping'!O:O, MATCH(TRUE, EXACT(TEXT(LEFT(TRIM(D131), 7), "@"), 'Master Mapping'!A:A), 0))</f>
        <v>16</v>
      </c>
      <c r="B131" s="731">
        <f t="shared" si="1"/>
        <v>988.27</v>
      </c>
      <c r="C131" s="731">
        <f>IFERROR(INDEX('P&amp;L SR 1'!A:ZZ, MATCH(D131, 'P&amp;L SR 1'!B:B, 0), MATCH("TOTAL", 'P&amp;L SR 1'!$5:$5, 0)), 0)</f>
        <v>0</v>
      </c>
      <c r="D131" s="727" t="s">
        <v>553</v>
      </c>
      <c r="E131" s="729">
        <f>988.27</f>
        <v>988.27</v>
      </c>
    </row>
    <row r="132" spans="1:5">
      <c r="A132" s="478" cm="1">
        <f t="array" ref="A132">INDEX('Master Mapping'!O:O, MATCH(TRUE, EXACT(TEXT(LEFT(TRIM(D132), 7), "@"), 'Master Mapping'!A:A), 0))</f>
        <v>18</v>
      </c>
      <c r="B132" s="731">
        <f t="shared" si="1"/>
        <v>11009.38</v>
      </c>
      <c r="C132" s="731">
        <f>IFERROR(INDEX('P&amp;L SR 1'!A:ZZ, MATCH(D132, 'P&amp;L SR 1'!B:B, 0), MATCH("TOTAL", 'P&amp;L SR 1'!$5:$5, 0)), 0)</f>
        <v>0</v>
      </c>
      <c r="D132" s="727" t="s">
        <v>554</v>
      </c>
      <c r="E132" s="729">
        <f>11009.38</f>
        <v>11009.38</v>
      </c>
    </row>
    <row r="133" spans="1:5">
      <c r="A133" s="478" cm="1">
        <f t="array" ref="A133">INDEX('Master Mapping'!O:O, MATCH(TRUE, EXACT(TEXT(LEFT(TRIM(D133), 7), "@"), 'Master Mapping'!A:A), 0))</f>
        <v>7</v>
      </c>
      <c r="B133" s="731">
        <f t="shared" si="1"/>
        <v>56.04</v>
      </c>
      <c r="C133" s="731">
        <f>IFERROR(INDEX('P&amp;L SR 1'!A:ZZ, MATCH(D133, 'P&amp;L SR 1'!B:B, 0), MATCH("TOTAL", 'P&amp;L SR 1'!$5:$5, 0)), 0)</f>
        <v>0</v>
      </c>
      <c r="D133" s="727" t="s">
        <v>555</v>
      </c>
      <c r="E133" s="729">
        <f>56.04</f>
        <v>56.04</v>
      </c>
    </row>
    <row r="134" spans="1:5">
      <c r="A134" s="478" cm="1">
        <f t="array" ref="A134">INDEX('Master Mapping'!O:O, MATCH(TRUE, EXACT(TEXT(LEFT(TRIM(D134), 7), "@"), 'Master Mapping'!A:A), 0))</f>
        <v>16</v>
      </c>
      <c r="B134" s="731">
        <f t="shared" si="1"/>
        <v>3205.6</v>
      </c>
      <c r="C134" s="731">
        <f>IFERROR(INDEX('P&amp;L SR 1'!A:ZZ, MATCH(D134, 'P&amp;L SR 1'!B:B, 0), MATCH("TOTAL", 'P&amp;L SR 1'!$5:$5, 0)), 0)</f>
        <v>0</v>
      </c>
      <c r="D134" s="727" t="s">
        <v>556</v>
      </c>
      <c r="E134" s="729">
        <f>3205.6</f>
        <v>3205.6</v>
      </c>
    </row>
    <row r="135" spans="1:5">
      <c r="A135" s="478" cm="1">
        <f t="array" ref="A135">INDEX('Master Mapping'!O:O, MATCH(TRUE, EXACT(TEXT(LEFT(TRIM(D135), 7), "@"), 'Master Mapping'!A:A), 0))</f>
        <v>18</v>
      </c>
      <c r="B135" s="731">
        <f t="shared" si="1"/>
        <v>24475.69</v>
      </c>
      <c r="C135" s="731">
        <f>IFERROR(INDEX('P&amp;L SR 1'!A:ZZ, MATCH(D135, 'P&amp;L SR 1'!B:B, 0), MATCH("TOTAL", 'P&amp;L SR 1'!$5:$5, 0)), 0)</f>
        <v>0</v>
      </c>
      <c r="D135" s="727" t="s">
        <v>557</v>
      </c>
      <c r="E135" s="729">
        <f>24475.69</f>
        <v>24475.69</v>
      </c>
    </row>
    <row r="136" spans="1:5">
      <c r="A136" s="478" cm="1">
        <f t="array" ref="A136">INDEX('Master Mapping'!O:O, MATCH(TRUE, EXACT(TEXT(LEFT(TRIM(D136), 7), "@"), 'Master Mapping'!A:A), 0))</f>
        <v>7</v>
      </c>
      <c r="B136" s="731">
        <f t="shared" si="1"/>
        <v>242.06</v>
      </c>
      <c r="C136" s="731">
        <f>IFERROR(INDEX('P&amp;L SR 1'!A:ZZ, MATCH(D136, 'P&amp;L SR 1'!B:B, 0), MATCH("TOTAL", 'P&amp;L SR 1'!$5:$5, 0)), 0)</f>
        <v>0</v>
      </c>
      <c r="D136" s="727" t="s">
        <v>558</v>
      </c>
      <c r="E136" s="729">
        <f>242.06</f>
        <v>242.06</v>
      </c>
    </row>
    <row r="137" spans="1:5">
      <c r="A137" s="478" t="e" cm="1">
        <f t="array" ref="A137">INDEX('Master Mapping'!O:O, MATCH(TRUE, EXACT(TEXT(LEFT(TRIM(D137), 7), "@"), 'Master Mapping'!A:A), 0))</f>
        <v>#N/A</v>
      </c>
      <c r="B137" s="731">
        <f t="shared" ref="B137:B147" si="2">E137-C137</f>
        <v>120708.28</v>
      </c>
      <c r="C137" s="731">
        <f>IFERROR(INDEX('P&amp;L SR 1'!A:ZZ, MATCH(D137, 'P&amp;L SR 1'!B:B, 0), MATCH("TOTAL", 'P&amp;L SR 1'!$5:$5, 0)), 0)</f>
        <v>10853.1</v>
      </c>
      <c r="D137" s="727" t="s">
        <v>275</v>
      </c>
      <c r="E137" s="730">
        <f>(((((((((E127)+(E128))+(E129))+(E130))+(E131))+(E132))+(E133))+(E134))+(E135))+(E136)</f>
        <v>131561.38</v>
      </c>
    </row>
    <row r="138" spans="1:5">
      <c r="A138" s="478" t="e" cm="1">
        <f t="array" ref="A138">INDEX('Master Mapping'!O:O, MATCH(TRUE, EXACT(TEXT(LEFT(TRIM(D138), 7), "@"), 'Master Mapping'!A:A), 0))</f>
        <v>#N/A</v>
      </c>
      <c r="B138" s="731">
        <f t="shared" si="2"/>
        <v>0</v>
      </c>
      <c r="C138" s="731">
        <f>IFERROR(INDEX('P&amp;L SR 1'!A:ZZ, MATCH(D138, 'P&amp;L SR 1'!B:B, 0), MATCH("TOTAL", 'P&amp;L SR 1'!$5:$5, 0)), 0)</f>
        <v>0</v>
      </c>
      <c r="D138" s="727" t="s">
        <v>559</v>
      </c>
      <c r="E138" s="728"/>
    </row>
    <row r="139" spans="1:5">
      <c r="A139" s="478" cm="1">
        <f t="array" ref="A139">INDEX('Master Mapping'!O:O, MATCH(TRUE, EXACT(TEXT(LEFT(TRIM(D139), 7), "@"), 'Master Mapping'!A:A), 0))</f>
        <v>16</v>
      </c>
      <c r="B139" s="731">
        <f t="shared" si="2"/>
        <v>1899.75</v>
      </c>
      <c r="C139" s="731">
        <f>IFERROR(INDEX('P&amp;L SR 1'!A:ZZ, MATCH(D139, 'P&amp;L SR 1'!B:B, 0), MATCH("TOTAL", 'P&amp;L SR 1'!$5:$5, 0)), 0)</f>
        <v>0</v>
      </c>
      <c r="D139" s="727" t="s">
        <v>560</v>
      </c>
      <c r="E139" s="729">
        <f>1899.75</f>
        <v>1899.75</v>
      </c>
    </row>
    <row r="140" spans="1:5">
      <c r="A140" s="478" cm="1">
        <f t="array" ref="A140">INDEX('Master Mapping'!O:O, MATCH(TRUE, EXACT(TEXT(LEFT(TRIM(D140), 7), "@"), 'Master Mapping'!A:A), 0))</f>
        <v>16</v>
      </c>
      <c r="B140" s="731">
        <f t="shared" si="2"/>
        <v>89.75</v>
      </c>
      <c r="C140" s="731">
        <f>IFERROR(INDEX('P&amp;L SR 1'!A:ZZ, MATCH(D140, 'P&amp;L SR 1'!B:B, 0), MATCH("TOTAL", 'P&amp;L SR 1'!$5:$5, 0)), 0)</f>
        <v>0</v>
      </c>
      <c r="D140" s="727" t="s">
        <v>561</v>
      </c>
      <c r="E140" s="729">
        <f>89.75</f>
        <v>89.75</v>
      </c>
    </row>
    <row r="141" spans="1:5">
      <c r="A141" s="478" t="e" cm="1">
        <f t="array" ref="A141">INDEX('Master Mapping'!O:O, MATCH(TRUE, EXACT(TEXT(LEFT(TRIM(D141), 7), "@"), 'Master Mapping'!A:A), 0))</f>
        <v>#N/A</v>
      </c>
      <c r="B141" s="731">
        <f t="shared" si="2"/>
        <v>1989.5</v>
      </c>
      <c r="C141" s="731">
        <f>IFERROR(INDEX('P&amp;L SR 1'!A:ZZ, MATCH(D141, 'P&amp;L SR 1'!B:B, 0), MATCH("TOTAL", 'P&amp;L SR 1'!$5:$5, 0)), 0)</f>
        <v>0</v>
      </c>
      <c r="D141" s="727" t="s">
        <v>562</v>
      </c>
      <c r="E141" s="730">
        <f>((E138)+(E139))+(E140)</f>
        <v>1989.5</v>
      </c>
    </row>
    <row r="142" spans="1:5">
      <c r="A142" s="478" t="e" cm="1">
        <f t="array" ref="A142">INDEX('Master Mapping'!O:O, MATCH(TRUE, EXACT(TEXT(LEFT(TRIM(D142), 7), "@"), 'Master Mapping'!A:A), 0))</f>
        <v>#N/A</v>
      </c>
      <c r="B142" s="731">
        <f t="shared" si="2"/>
        <v>0</v>
      </c>
      <c r="C142" s="731">
        <f>IFERROR(INDEX('P&amp;L SR 1'!A:ZZ, MATCH(D142, 'P&amp;L SR 1'!B:B, 0), MATCH("TOTAL", 'P&amp;L SR 1'!$5:$5, 0)), 0)</f>
        <v>0</v>
      </c>
      <c r="D142" s="727" t="s">
        <v>563</v>
      </c>
      <c r="E142" s="728"/>
    </row>
    <row r="143" spans="1:5">
      <c r="A143" s="478" cm="1">
        <f t="array" ref="A143">INDEX('Master Mapping'!O:O, MATCH(TRUE, EXACT(TEXT(LEFT(TRIM(D143), 7), "@"), 'Master Mapping'!A:A), 0))</f>
        <v>26</v>
      </c>
      <c r="B143" s="731">
        <f t="shared" si="2"/>
        <v>-7331</v>
      </c>
      <c r="C143" s="731">
        <f>IFERROR(INDEX('P&amp;L SR 1'!A:ZZ, MATCH(D143, 'P&amp;L SR 1'!B:B, 0), MATCH("TOTAL", 'P&amp;L SR 1'!$5:$5, 0)), 0)</f>
        <v>7331</v>
      </c>
      <c r="D143" s="727" t="s">
        <v>564</v>
      </c>
      <c r="E143" s="729">
        <f>0</f>
        <v>0</v>
      </c>
    </row>
    <row r="144" spans="1:5">
      <c r="A144" s="478" t="e" cm="1">
        <f t="array" ref="A144">INDEX('Master Mapping'!O:O, MATCH(TRUE, EXACT(TEXT(LEFT(TRIM(D144), 7), "@"), 'Master Mapping'!A:A), 0))</f>
        <v>#N/A</v>
      </c>
      <c r="B144" s="731">
        <f t="shared" si="2"/>
        <v>-7331</v>
      </c>
      <c r="C144" s="731">
        <f>IFERROR(INDEX('P&amp;L SR 1'!A:ZZ, MATCH(D144, 'P&amp;L SR 1'!B:B, 0), MATCH("TOTAL", 'P&amp;L SR 1'!$5:$5, 0)), 0)</f>
        <v>7331</v>
      </c>
      <c r="D144" s="727" t="s">
        <v>565</v>
      </c>
      <c r="E144" s="730">
        <f>(E142)+(E143)</f>
        <v>0</v>
      </c>
    </row>
    <row r="145" spans="1:5">
      <c r="A145" s="478" t="e" cm="1">
        <f t="array" ref="A145">INDEX('Master Mapping'!O:O, MATCH(TRUE, EXACT(TEXT(LEFT(TRIM(D145), 7), "@"), 'Master Mapping'!A:A), 0))</f>
        <v>#N/A</v>
      </c>
      <c r="B145" s="731">
        <f t="shared" si="2"/>
        <v>1682799.5600000003</v>
      </c>
      <c r="C145" s="731">
        <f>IFERROR(INDEX('P&amp;L SR 1'!A:ZZ, MATCH(D145, 'P&amp;L SR 1'!B:B, 0), MATCH("TOTAL", 'P&amp;L SR 1'!$5:$5, 0)), 0)</f>
        <v>254531.50999999998</v>
      </c>
      <c r="D145" s="727" t="s">
        <v>566</v>
      </c>
      <c r="E145" s="730">
        <f>(((((((E42)+(E88))+(E105))+(E116))+(E126))+(E137))+(E141))+(E144)</f>
        <v>1937331.0700000003</v>
      </c>
    </row>
    <row r="146" spans="1:5">
      <c r="A146" s="478" t="e" cm="1">
        <f t="array" ref="A146">INDEX('Master Mapping'!O:O, MATCH(TRUE, EXACT(TEXT(LEFT(TRIM(D146), 7), "@"), 'Master Mapping'!A:A), 0))</f>
        <v>#N/A</v>
      </c>
      <c r="B146" s="731">
        <f t="shared" si="2"/>
        <v>-501894.00000000023</v>
      </c>
      <c r="C146" s="731">
        <f>IFERROR(INDEX('P&amp;L SR 1'!A:ZZ, MATCH(D146, 'P&amp;L SR 1'!B:B, 0), MATCH("TOTAL", 'P&amp;L SR 1'!$5:$5, 0)), 0)</f>
        <v>574072.79</v>
      </c>
      <c r="D146" s="727" t="s">
        <v>567</v>
      </c>
      <c r="E146" s="730">
        <f>(E27)-(E145)</f>
        <v>72178.789999999804</v>
      </c>
    </row>
    <row r="147" spans="1:5">
      <c r="A147" s="478" t="e" cm="1">
        <f t="array" ref="A147">INDEX('Master Mapping'!O:O, MATCH(TRUE, EXACT(TEXT(LEFT(TRIM(D147), 7), "@"), 'Master Mapping'!A:A), 0))</f>
        <v>#N/A</v>
      </c>
      <c r="B147" s="731">
        <f t="shared" si="2"/>
        <v>-501894.00000000023</v>
      </c>
      <c r="C147" s="731">
        <f>IFERROR(INDEX('P&amp;L SR 1'!A:ZZ, MATCH(D147, 'P&amp;L SR 1'!B:B, 0), MATCH("TOTAL", 'P&amp;L SR 1'!$5:$5, 0)), 0)</f>
        <v>574072.79</v>
      </c>
      <c r="D147" s="727" t="s">
        <v>568</v>
      </c>
      <c r="E147" s="730">
        <f>(E146)+(0)</f>
        <v>72178.789999999804</v>
      </c>
    </row>
    <row r="148" spans="1:5">
      <c r="D148" s="727"/>
      <c r="E148" s="728"/>
    </row>
    <row r="151" spans="1:5">
      <c r="D151" s="769" t="s">
        <v>4302</v>
      </c>
      <c r="E151" s="767"/>
    </row>
  </sheetData>
  <mergeCells count="4">
    <mergeCell ref="D1:E1"/>
    <mergeCell ref="D2:E2"/>
    <mergeCell ref="D3:E3"/>
    <mergeCell ref="D151:E15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E9479-E995-4FE5-9F72-E75063027A51}">
  <dimension ref="A1:AA77"/>
  <sheetViews>
    <sheetView topLeftCell="B6" workbookViewId="0">
      <selection activeCell="AA71" sqref="AA71"/>
    </sheetView>
  </sheetViews>
  <sheetFormatPr defaultRowHeight="15.5"/>
  <cols>
    <col min="2" max="2" width="37.4609375" customWidth="1"/>
    <col min="3" max="3" width="6" customWidth="1"/>
    <col min="4" max="4" width="7.3046875" customWidth="1"/>
    <col min="5" max="5" width="6.69140625" customWidth="1"/>
    <col min="6" max="7" width="7.3046875" customWidth="1"/>
    <col min="8" max="8" width="6" customWidth="1"/>
    <col min="9" max="11" width="8" customWidth="1"/>
    <col min="12" max="12" width="7.3046875" customWidth="1"/>
    <col min="13" max="13" width="8" customWidth="1"/>
    <col min="14" max="14" width="6" customWidth="1"/>
    <col min="15" max="15" width="8" customWidth="1"/>
    <col min="16" max="16" width="6" customWidth="1"/>
    <col min="17" max="18" width="8" customWidth="1"/>
    <col min="19" max="19" width="7.3046875" customWidth="1"/>
    <col min="20" max="20" width="8.69140625" customWidth="1"/>
    <col min="21" max="21" width="7.3046875" customWidth="1"/>
    <col min="22" max="22" width="8" customWidth="1"/>
    <col min="23" max="23" width="8.69140625" customWidth="1"/>
    <col min="24" max="24" width="6" customWidth="1"/>
    <col min="25" max="27" width="8" customWidth="1"/>
  </cols>
  <sheetData>
    <row r="1" spans="1:27" ht="18">
      <c r="A1" s="724" t="s">
        <v>4287</v>
      </c>
      <c r="B1" s="766" t="s">
        <v>4288</v>
      </c>
      <c r="C1" s="767"/>
      <c r="D1" s="767"/>
      <c r="E1" s="767"/>
      <c r="F1" s="767"/>
      <c r="G1" s="767"/>
      <c r="H1" s="767"/>
      <c r="I1" s="767"/>
      <c r="J1" s="767"/>
      <c r="K1" s="767"/>
      <c r="L1" s="767"/>
      <c r="M1" s="767"/>
      <c r="N1" s="767"/>
      <c r="O1" s="767"/>
      <c r="P1" s="767"/>
      <c r="Q1" s="767"/>
      <c r="R1" s="767"/>
      <c r="S1" s="767"/>
      <c r="T1" s="767"/>
      <c r="U1" s="767"/>
      <c r="V1" s="767"/>
      <c r="W1" s="767"/>
      <c r="X1" s="767"/>
      <c r="Y1" s="767"/>
      <c r="Z1" s="767"/>
      <c r="AA1" s="767"/>
    </row>
    <row r="2" spans="1:27" ht="18">
      <c r="A2" s="478"/>
      <c r="B2" s="766" t="s">
        <v>4303</v>
      </c>
      <c r="C2" s="767"/>
      <c r="D2" s="767"/>
      <c r="E2" s="767"/>
      <c r="F2" s="767"/>
      <c r="G2" s="767"/>
      <c r="H2" s="767"/>
      <c r="I2" s="767"/>
      <c r="J2" s="767"/>
      <c r="K2" s="767"/>
      <c r="L2" s="767"/>
      <c r="M2" s="767"/>
      <c r="N2" s="767"/>
      <c r="O2" s="767"/>
      <c r="P2" s="767"/>
      <c r="Q2" s="767"/>
      <c r="R2" s="767"/>
      <c r="S2" s="767"/>
      <c r="T2" s="767"/>
      <c r="U2" s="767"/>
      <c r="V2" s="767"/>
      <c r="W2" s="767"/>
      <c r="X2" s="767"/>
      <c r="Y2" s="767"/>
      <c r="Z2" s="767"/>
      <c r="AA2" s="767"/>
    </row>
    <row r="3" spans="1:27">
      <c r="A3" s="478"/>
      <c r="B3" s="768" t="s">
        <v>4290</v>
      </c>
      <c r="C3" s="767"/>
      <c r="D3" s="767"/>
      <c r="E3" s="767"/>
      <c r="F3" s="767"/>
      <c r="G3" s="767"/>
      <c r="H3" s="767"/>
      <c r="I3" s="767"/>
      <c r="J3" s="767"/>
      <c r="K3" s="767"/>
      <c r="L3" s="767"/>
      <c r="M3" s="767"/>
      <c r="N3" s="767"/>
      <c r="O3" s="767"/>
      <c r="P3" s="767"/>
      <c r="Q3" s="767"/>
      <c r="R3" s="767"/>
      <c r="S3" s="767"/>
      <c r="T3" s="767"/>
      <c r="U3" s="767"/>
      <c r="V3" s="767"/>
      <c r="W3" s="767"/>
      <c r="X3" s="767"/>
      <c r="Y3" s="767"/>
      <c r="Z3" s="767"/>
      <c r="AA3" s="767"/>
    </row>
    <row r="4" spans="1:27">
      <c r="A4" s="478"/>
    </row>
    <row r="5" spans="1:27" ht="24">
      <c r="A5" s="478"/>
      <c r="B5" s="725"/>
      <c r="C5" s="726" t="s">
        <v>4304</v>
      </c>
      <c r="D5" s="726" t="s">
        <v>4305</v>
      </c>
      <c r="E5" s="726" t="s">
        <v>4306</v>
      </c>
      <c r="F5" s="726" t="s">
        <v>4307</v>
      </c>
      <c r="G5" s="726" t="s">
        <v>4308</v>
      </c>
      <c r="H5" s="726" t="s">
        <v>4309</v>
      </c>
      <c r="I5" s="726" t="s">
        <v>4310</v>
      </c>
      <c r="J5" s="726" t="s">
        <v>4311</v>
      </c>
      <c r="K5" s="726" t="s">
        <v>4312</v>
      </c>
      <c r="L5" s="726" t="s">
        <v>4313</v>
      </c>
      <c r="M5" s="726" t="s">
        <v>4314</v>
      </c>
      <c r="N5" s="726" t="s">
        <v>4315</v>
      </c>
      <c r="O5" s="726" t="s">
        <v>4316</v>
      </c>
      <c r="P5" s="726" t="s">
        <v>4317</v>
      </c>
      <c r="Q5" s="726" t="s">
        <v>4318</v>
      </c>
      <c r="R5" s="726" t="s">
        <v>4319</v>
      </c>
      <c r="S5" s="726" t="s">
        <v>4320</v>
      </c>
      <c r="T5" s="726" t="s">
        <v>263</v>
      </c>
      <c r="U5" s="726" t="s">
        <v>281</v>
      </c>
      <c r="V5" s="726" t="s">
        <v>440</v>
      </c>
      <c r="W5" s="726" t="s">
        <v>4321</v>
      </c>
      <c r="X5" s="726" t="s">
        <v>4322</v>
      </c>
      <c r="Y5" s="726" t="s">
        <v>434</v>
      </c>
      <c r="Z5" s="726" t="s">
        <v>4323</v>
      </c>
      <c r="AA5" s="726" t="s">
        <v>264</v>
      </c>
    </row>
    <row r="6" spans="1:27">
      <c r="A6" s="478"/>
      <c r="B6" s="727" t="s">
        <v>441</v>
      </c>
      <c r="C6" s="728"/>
      <c r="D6" s="728"/>
      <c r="E6" s="728"/>
      <c r="F6" s="728"/>
      <c r="G6" s="728"/>
      <c r="H6" s="728"/>
      <c r="I6" s="728"/>
      <c r="J6" s="728"/>
      <c r="K6" s="728"/>
      <c r="L6" s="728"/>
      <c r="M6" s="728"/>
      <c r="N6" s="728"/>
      <c r="O6" s="728"/>
      <c r="P6" s="728"/>
      <c r="Q6" s="728"/>
      <c r="R6" s="728"/>
      <c r="S6" s="728"/>
      <c r="T6" s="728"/>
      <c r="U6" s="728"/>
      <c r="V6" s="728"/>
      <c r="W6" s="728"/>
      <c r="X6" s="728"/>
      <c r="Y6" s="728"/>
      <c r="Z6" s="728"/>
      <c r="AA6" s="728"/>
    </row>
    <row r="7" spans="1:27">
      <c r="A7" s="478"/>
      <c r="B7" s="727" t="s">
        <v>445</v>
      </c>
      <c r="C7" s="741"/>
      <c r="D7" s="741"/>
      <c r="E7" s="741"/>
      <c r="F7" s="741"/>
      <c r="G7" s="742">
        <f t="shared" ref="G7" si="0">(((C7)+(D7))+(E7))+(F7)</f>
        <v>0</v>
      </c>
      <c r="H7" s="728"/>
      <c r="I7" s="728"/>
      <c r="J7" s="728"/>
      <c r="K7" s="728"/>
      <c r="L7" s="728"/>
      <c r="M7" s="728"/>
      <c r="N7" s="728"/>
      <c r="O7" s="729">
        <f t="shared" ref="O7:O21" si="1">((((((H7)+(I7))+(J7))+(K7))+(L7))+(M7))+(N7)</f>
        <v>0</v>
      </c>
      <c r="P7" s="728"/>
      <c r="Q7" s="728"/>
      <c r="R7" s="728"/>
      <c r="S7" s="728"/>
      <c r="T7" s="728"/>
      <c r="U7" s="728"/>
      <c r="V7" s="728"/>
      <c r="W7" s="729">
        <f t="shared" ref="W7:W21" si="2">((((((P7)+(Q7))+(R7))+(S7))+(T7))+(U7))+(V7)</f>
        <v>0</v>
      </c>
      <c r="X7" s="728"/>
      <c r="Y7" s="728"/>
      <c r="Z7" s="729">
        <f t="shared" ref="Z7:Z21" si="3">(X7)+(Y7)</f>
        <v>0</v>
      </c>
      <c r="AA7" s="729">
        <f t="shared" ref="AA7:AA21" si="4">(((G7)+(O7))+(W7))+(Z7)</f>
        <v>0</v>
      </c>
    </row>
    <row r="8" spans="1:27">
      <c r="A8" s="478" cm="1">
        <f t="array" ref="A8">INDEX('Master Mapping'!O:O, MATCH(TRUE, EXACT(TEXT(LEFT(TRIM(B8), 7), "@"), 'Master Mapping'!A:A), 0))</f>
        <v>2</v>
      </c>
      <c r="B8" s="727" t="s">
        <v>446</v>
      </c>
      <c r="C8" s="741"/>
      <c r="D8" s="741"/>
      <c r="E8" s="741"/>
      <c r="F8" s="741"/>
      <c r="G8" s="742">
        <f t="shared" ref="G8:G71" si="5">(((C8)+(D8))+(E8))+(F8)</f>
        <v>0</v>
      </c>
      <c r="H8" s="728"/>
      <c r="I8" s="728"/>
      <c r="J8" s="728"/>
      <c r="K8" s="728"/>
      <c r="L8" s="728"/>
      <c r="M8" s="728"/>
      <c r="N8" s="728"/>
      <c r="O8" s="729">
        <f t="shared" si="1"/>
        <v>0</v>
      </c>
      <c r="P8" s="728"/>
      <c r="Q8" s="728"/>
      <c r="R8" s="728"/>
      <c r="S8" s="728"/>
      <c r="T8" s="728"/>
      <c r="U8" s="728"/>
      <c r="V8" s="728"/>
      <c r="W8" s="729">
        <f t="shared" si="2"/>
        <v>0</v>
      </c>
      <c r="X8" s="728"/>
      <c r="Y8" s="728"/>
      <c r="Z8" s="729">
        <f t="shared" si="3"/>
        <v>0</v>
      </c>
      <c r="AA8" s="729">
        <f t="shared" si="4"/>
        <v>0</v>
      </c>
    </row>
    <row r="9" spans="1:27">
      <c r="A9" s="478" t="e" cm="1">
        <f t="array" ref="A9">INDEX('Master Mapping'!O:O, MATCH(TRUE, EXACT(TEXT(LEFT(TRIM(B9), 7), "@"), 'Master Mapping'!A:A), 0))</f>
        <v>#N/A</v>
      </c>
      <c r="B9" s="727" t="s">
        <v>447</v>
      </c>
      <c r="C9" s="741"/>
      <c r="D9" s="741"/>
      <c r="E9" s="741"/>
      <c r="F9" s="741"/>
      <c r="G9" s="742">
        <f t="shared" si="5"/>
        <v>0</v>
      </c>
      <c r="H9" s="730">
        <f t="shared" ref="H9:N9" si="6">(H7)+(H8)</f>
        <v>0</v>
      </c>
      <c r="I9" s="730">
        <f t="shared" si="6"/>
        <v>0</v>
      </c>
      <c r="J9" s="730">
        <f t="shared" si="6"/>
        <v>0</v>
      </c>
      <c r="K9" s="730">
        <f t="shared" si="6"/>
        <v>0</v>
      </c>
      <c r="L9" s="730">
        <f t="shared" si="6"/>
        <v>0</v>
      </c>
      <c r="M9" s="730">
        <f t="shared" si="6"/>
        <v>0</v>
      </c>
      <c r="N9" s="730">
        <f t="shared" si="6"/>
        <v>0</v>
      </c>
      <c r="O9" s="730">
        <f t="shared" si="1"/>
        <v>0</v>
      </c>
      <c r="P9" s="730">
        <f t="shared" ref="P9:V9" si="7">(P7)+(P8)</f>
        <v>0</v>
      </c>
      <c r="Q9" s="730">
        <f t="shared" si="7"/>
        <v>0</v>
      </c>
      <c r="R9" s="730">
        <f t="shared" si="7"/>
        <v>0</v>
      </c>
      <c r="S9" s="730">
        <f t="shared" si="7"/>
        <v>0</v>
      </c>
      <c r="T9" s="730">
        <f t="shared" si="7"/>
        <v>0</v>
      </c>
      <c r="U9" s="730">
        <f t="shared" si="7"/>
        <v>0</v>
      </c>
      <c r="V9" s="730">
        <f t="shared" si="7"/>
        <v>0</v>
      </c>
      <c r="W9" s="730">
        <f t="shared" si="2"/>
        <v>0</v>
      </c>
      <c r="X9" s="730">
        <f>(X7)+(X8)</f>
        <v>0</v>
      </c>
      <c r="Y9" s="730">
        <f>(Y7)+(Y8)</f>
        <v>0</v>
      </c>
      <c r="Z9" s="730">
        <f t="shared" si="3"/>
        <v>0</v>
      </c>
      <c r="AA9" s="730">
        <f t="shared" si="4"/>
        <v>0</v>
      </c>
    </row>
    <row r="10" spans="1:27">
      <c r="A10" s="478" t="e" cm="1">
        <f t="array" ref="A10">INDEX('Master Mapping'!O:O, MATCH(TRUE, EXACT(TEXT(LEFT(TRIM(B10), 7), "@"), 'Master Mapping'!A:A), 0))</f>
        <v>#N/A</v>
      </c>
      <c r="B10" s="727" t="s">
        <v>448</v>
      </c>
      <c r="C10" s="741"/>
      <c r="D10" s="741"/>
      <c r="E10" s="741"/>
      <c r="F10" s="741"/>
      <c r="G10" s="742">
        <f t="shared" si="5"/>
        <v>0</v>
      </c>
      <c r="H10" s="728"/>
      <c r="I10" s="728"/>
      <c r="J10" s="728"/>
      <c r="K10" s="728"/>
      <c r="L10" s="728"/>
      <c r="M10" s="728"/>
      <c r="N10" s="728"/>
      <c r="O10" s="729">
        <f t="shared" si="1"/>
        <v>0</v>
      </c>
      <c r="P10" s="728"/>
      <c r="Q10" s="728"/>
      <c r="R10" s="728"/>
      <c r="S10" s="728"/>
      <c r="T10" s="728"/>
      <c r="U10" s="728"/>
      <c r="V10" s="728"/>
      <c r="W10" s="729">
        <f t="shared" si="2"/>
        <v>0</v>
      </c>
      <c r="X10" s="728"/>
      <c r="Y10" s="728"/>
      <c r="Z10" s="729">
        <f t="shared" si="3"/>
        <v>0</v>
      </c>
      <c r="AA10" s="729">
        <f t="shared" si="4"/>
        <v>0</v>
      </c>
    </row>
    <row r="11" spans="1:27">
      <c r="A11" s="478" cm="1">
        <f t="array" ref="A11">INDEX('Master Mapping'!O:O, MATCH(TRUE, EXACT(TEXT(LEFT(TRIM(B11), 7), "@"), 'Master Mapping'!A:A), 0))</f>
        <v>5</v>
      </c>
      <c r="B11" s="727" t="s">
        <v>449</v>
      </c>
      <c r="C11" s="741"/>
      <c r="D11" s="741"/>
      <c r="E11" s="741"/>
      <c r="F11" s="741"/>
      <c r="G11" s="742">
        <f t="shared" si="5"/>
        <v>0</v>
      </c>
      <c r="H11" s="728"/>
      <c r="I11" s="728"/>
      <c r="J11" s="728"/>
      <c r="K11" s="728"/>
      <c r="L11" s="728"/>
      <c r="M11" s="728"/>
      <c r="N11" s="728"/>
      <c r="O11" s="729">
        <f t="shared" si="1"/>
        <v>0</v>
      </c>
      <c r="P11" s="728"/>
      <c r="Q11" s="728"/>
      <c r="R11" s="728"/>
      <c r="S11" s="728"/>
      <c r="T11" s="728"/>
      <c r="U11" s="728"/>
      <c r="V11" s="728"/>
      <c r="W11" s="729">
        <f t="shared" si="2"/>
        <v>0</v>
      </c>
      <c r="X11" s="728"/>
      <c r="Y11" s="729">
        <f>114873.3</f>
        <v>114873.3</v>
      </c>
      <c r="Z11" s="729">
        <f t="shared" si="3"/>
        <v>114873.3</v>
      </c>
      <c r="AA11" s="729">
        <f t="shared" si="4"/>
        <v>114873.3</v>
      </c>
    </row>
    <row r="12" spans="1:27">
      <c r="A12" s="478" cm="1">
        <f t="array" ref="A12">INDEX('Master Mapping'!O:O, MATCH(TRUE, EXACT(TEXT(LEFT(TRIM(B12), 7), "@"), 'Master Mapping'!A:A), 0))</f>
        <v>5</v>
      </c>
      <c r="B12" s="727" t="s">
        <v>268</v>
      </c>
      <c r="C12" s="741"/>
      <c r="D12" s="741"/>
      <c r="E12" s="741"/>
      <c r="F12" s="741"/>
      <c r="G12" s="742">
        <f t="shared" si="5"/>
        <v>0</v>
      </c>
      <c r="H12" s="728"/>
      <c r="I12" s="728"/>
      <c r="J12" s="728"/>
      <c r="K12" s="728"/>
      <c r="L12" s="728"/>
      <c r="M12" s="729">
        <f>15166</f>
        <v>15166</v>
      </c>
      <c r="N12" s="728"/>
      <c r="O12" s="729">
        <f t="shared" si="1"/>
        <v>15166</v>
      </c>
      <c r="P12" s="728"/>
      <c r="Q12" s="728"/>
      <c r="R12" s="728"/>
      <c r="S12" s="728"/>
      <c r="T12" s="728"/>
      <c r="U12" s="728"/>
      <c r="V12" s="728"/>
      <c r="W12" s="729">
        <f t="shared" si="2"/>
        <v>0</v>
      </c>
      <c r="X12" s="728"/>
      <c r="Y12" s="728"/>
      <c r="Z12" s="729">
        <f t="shared" si="3"/>
        <v>0</v>
      </c>
      <c r="AA12" s="729">
        <f t="shared" si="4"/>
        <v>15166</v>
      </c>
    </row>
    <row r="13" spans="1:27">
      <c r="A13" s="478" cm="1">
        <f t="array" ref="A13">INDEX('Master Mapping'!O:O, MATCH(TRUE, EXACT(TEXT(LEFT(TRIM(B13), 7), "@"), 'Master Mapping'!A:A), 0))</f>
        <v>5</v>
      </c>
      <c r="B13" s="727" t="s">
        <v>269</v>
      </c>
      <c r="C13" s="741"/>
      <c r="D13" s="741"/>
      <c r="E13" s="741"/>
      <c r="F13" s="741"/>
      <c r="G13" s="742">
        <f t="shared" si="5"/>
        <v>0</v>
      </c>
      <c r="H13" s="728"/>
      <c r="I13" s="728"/>
      <c r="J13" s="728"/>
      <c r="K13" s="728"/>
      <c r="L13" s="728"/>
      <c r="M13" s="728"/>
      <c r="N13" s="729">
        <f>565</f>
        <v>565</v>
      </c>
      <c r="O13" s="729">
        <f t="shared" si="1"/>
        <v>565</v>
      </c>
      <c r="P13" s="728"/>
      <c r="Q13" s="728"/>
      <c r="R13" s="728"/>
      <c r="S13" s="728"/>
      <c r="T13" s="728"/>
      <c r="U13" s="728"/>
      <c r="V13" s="728"/>
      <c r="W13" s="729">
        <f t="shared" si="2"/>
        <v>0</v>
      </c>
      <c r="X13" s="728"/>
      <c r="Y13" s="728"/>
      <c r="Z13" s="729">
        <f t="shared" si="3"/>
        <v>0</v>
      </c>
      <c r="AA13" s="729">
        <f t="shared" si="4"/>
        <v>565</v>
      </c>
    </row>
    <row r="14" spans="1:27">
      <c r="A14" s="478" cm="1">
        <f t="array" ref="A14">INDEX('Master Mapping'!O:O, MATCH(TRUE, EXACT(TEXT(LEFT(TRIM(B14), 7), "@"), 'Master Mapping'!A:A), 0))</f>
        <v>5</v>
      </c>
      <c r="B14" s="727" t="s">
        <v>450</v>
      </c>
      <c r="C14" s="741"/>
      <c r="D14" s="741"/>
      <c r="E14" s="741"/>
      <c r="F14" s="741"/>
      <c r="G14" s="742">
        <f t="shared" si="5"/>
        <v>0</v>
      </c>
      <c r="H14" s="728"/>
      <c r="I14" s="728"/>
      <c r="J14" s="728"/>
      <c r="K14" s="728"/>
      <c r="L14" s="728"/>
      <c r="M14" s="728"/>
      <c r="N14" s="728"/>
      <c r="O14" s="729">
        <f t="shared" si="1"/>
        <v>0</v>
      </c>
      <c r="P14" s="728"/>
      <c r="Q14" s="728"/>
      <c r="R14" s="728"/>
      <c r="S14" s="728"/>
      <c r="T14" s="729">
        <f>48633</f>
        <v>48633</v>
      </c>
      <c r="U14" s="728"/>
      <c r="V14" s="728"/>
      <c r="W14" s="729">
        <f t="shared" si="2"/>
        <v>48633</v>
      </c>
      <c r="X14" s="728"/>
      <c r="Y14" s="728"/>
      <c r="Z14" s="729">
        <f t="shared" si="3"/>
        <v>0</v>
      </c>
      <c r="AA14" s="729">
        <f t="shared" si="4"/>
        <v>48633</v>
      </c>
    </row>
    <row r="15" spans="1:27">
      <c r="A15" s="478" cm="1">
        <f t="array" ref="A15">INDEX('Master Mapping'!O:O, MATCH(TRUE, EXACT(TEXT(LEFT(TRIM(B15), 7), "@"), 'Master Mapping'!A:A), 0))</f>
        <v>5</v>
      </c>
      <c r="B15" s="727" t="s">
        <v>451</v>
      </c>
      <c r="C15" s="741"/>
      <c r="D15" s="741"/>
      <c r="E15" s="741"/>
      <c r="F15" s="741"/>
      <c r="G15" s="742">
        <f t="shared" si="5"/>
        <v>0</v>
      </c>
      <c r="H15" s="728"/>
      <c r="I15" s="728"/>
      <c r="J15" s="728"/>
      <c r="K15" s="728"/>
      <c r="L15" s="728"/>
      <c r="M15" s="728"/>
      <c r="N15" s="728"/>
      <c r="O15" s="729">
        <f t="shared" si="1"/>
        <v>0</v>
      </c>
      <c r="P15" s="728"/>
      <c r="Q15" s="728"/>
      <c r="R15" s="728"/>
      <c r="S15" s="728"/>
      <c r="T15" s="728"/>
      <c r="U15" s="728"/>
      <c r="V15" s="729">
        <f>4704</f>
        <v>4704</v>
      </c>
      <c r="W15" s="729">
        <f t="shared" si="2"/>
        <v>4704</v>
      </c>
      <c r="X15" s="728"/>
      <c r="Y15" s="728"/>
      <c r="Z15" s="729">
        <f t="shared" si="3"/>
        <v>0</v>
      </c>
      <c r="AA15" s="729">
        <f t="shared" si="4"/>
        <v>4704</v>
      </c>
    </row>
    <row r="16" spans="1:27">
      <c r="A16" s="478" cm="1">
        <f t="array" ref="A16">INDEX('Master Mapping'!O:O, MATCH(TRUE, EXACT(TEXT(LEFT(TRIM(B16), 7), "@"), 'Master Mapping'!A:A), 0))</f>
        <v>5</v>
      </c>
      <c r="B16" s="727" t="s">
        <v>278</v>
      </c>
      <c r="C16" s="741"/>
      <c r="D16" s="741"/>
      <c r="E16" s="741"/>
      <c r="F16" s="741"/>
      <c r="G16" s="742">
        <f t="shared" si="5"/>
        <v>0</v>
      </c>
      <c r="H16" s="728"/>
      <c r="I16" s="728"/>
      <c r="J16" s="728"/>
      <c r="K16" s="728"/>
      <c r="L16" s="728"/>
      <c r="M16" s="728"/>
      <c r="N16" s="728"/>
      <c r="O16" s="729">
        <f t="shared" si="1"/>
        <v>0</v>
      </c>
      <c r="P16" s="728"/>
      <c r="Q16" s="728"/>
      <c r="R16" s="728"/>
      <c r="S16" s="728"/>
      <c r="T16" s="728"/>
      <c r="U16" s="729">
        <f>11219</f>
        <v>11219</v>
      </c>
      <c r="V16" s="728"/>
      <c r="W16" s="729">
        <f t="shared" si="2"/>
        <v>11219</v>
      </c>
      <c r="X16" s="728"/>
      <c r="Y16" s="728"/>
      <c r="Z16" s="729">
        <f t="shared" si="3"/>
        <v>0</v>
      </c>
      <c r="AA16" s="729">
        <f t="shared" si="4"/>
        <v>11219</v>
      </c>
    </row>
    <row r="17" spans="1:27">
      <c r="A17" s="478" cm="1">
        <f t="array" ref="A17">INDEX('Master Mapping'!O:O, MATCH(TRUE, EXACT(TEXT(LEFT(TRIM(B17), 7), "@"), 'Master Mapping'!A:A), 0))</f>
        <v>5</v>
      </c>
      <c r="B17" s="727" t="s">
        <v>730</v>
      </c>
      <c r="C17" s="741"/>
      <c r="D17" s="741"/>
      <c r="E17" s="741"/>
      <c r="F17" s="741"/>
      <c r="G17" s="742">
        <f t="shared" si="5"/>
        <v>0</v>
      </c>
      <c r="H17" s="728"/>
      <c r="I17" s="728"/>
      <c r="J17" s="728"/>
      <c r="K17" s="728"/>
      <c r="L17" s="728"/>
      <c r="M17" s="728"/>
      <c r="N17" s="728"/>
      <c r="O17" s="729">
        <f t="shared" si="1"/>
        <v>0</v>
      </c>
      <c r="P17" s="728"/>
      <c r="Q17" s="729">
        <f>8479</f>
        <v>8479</v>
      </c>
      <c r="R17" s="729">
        <f>9409</f>
        <v>9409</v>
      </c>
      <c r="S17" s="729">
        <f>10853</f>
        <v>10853</v>
      </c>
      <c r="T17" s="728"/>
      <c r="U17" s="728"/>
      <c r="V17" s="728"/>
      <c r="W17" s="729">
        <f t="shared" si="2"/>
        <v>28741</v>
      </c>
      <c r="X17" s="728"/>
      <c r="Y17" s="728"/>
      <c r="Z17" s="729">
        <f t="shared" si="3"/>
        <v>0</v>
      </c>
      <c r="AA17" s="729">
        <f t="shared" si="4"/>
        <v>28741</v>
      </c>
    </row>
    <row r="18" spans="1:27">
      <c r="A18" s="478" cm="1">
        <f t="array" ref="A18">INDEX('Master Mapping'!O:O, MATCH(TRUE, EXACT(TEXT(LEFT(TRIM(B18), 7), "@"), 'Master Mapping'!A:A), 0))</f>
        <v>5</v>
      </c>
      <c r="B18" s="727" t="s">
        <v>452</v>
      </c>
      <c r="C18" s="741"/>
      <c r="D18" s="741"/>
      <c r="E18" s="741"/>
      <c r="F18" s="741"/>
      <c r="G18" s="742">
        <f t="shared" si="5"/>
        <v>0</v>
      </c>
      <c r="H18" s="728"/>
      <c r="I18" s="729">
        <f>184527</f>
        <v>184527</v>
      </c>
      <c r="J18" s="729">
        <f>294866</f>
        <v>294866</v>
      </c>
      <c r="K18" s="729">
        <f>113204</f>
        <v>113204</v>
      </c>
      <c r="L18" s="729">
        <f>12106</f>
        <v>12106</v>
      </c>
      <c r="M18" s="728"/>
      <c r="N18" s="728"/>
      <c r="O18" s="729">
        <f t="shared" si="1"/>
        <v>604703</v>
      </c>
      <c r="P18" s="728"/>
      <c r="Q18" s="728"/>
      <c r="R18" s="728"/>
      <c r="S18" s="728"/>
      <c r="T18" s="728"/>
      <c r="U18" s="728"/>
      <c r="V18" s="728"/>
      <c r="W18" s="729">
        <f t="shared" si="2"/>
        <v>0</v>
      </c>
      <c r="X18" s="728"/>
      <c r="Y18" s="728"/>
      <c r="Z18" s="729">
        <f t="shared" si="3"/>
        <v>0</v>
      </c>
      <c r="AA18" s="729">
        <f t="shared" si="4"/>
        <v>604703</v>
      </c>
    </row>
    <row r="19" spans="1:27">
      <c r="A19" s="478" t="e" cm="1">
        <f t="array" ref="A19">INDEX('Master Mapping'!O:O, MATCH(TRUE, EXACT(TEXT(LEFT(TRIM(B19), 7), "@"), 'Master Mapping'!A:A), 0))</f>
        <v>#N/A</v>
      </c>
      <c r="B19" s="727" t="s">
        <v>453</v>
      </c>
      <c r="C19" s="741"/>
      <c r="D19" s="741"/>
      <c r="E19" s="741"/>
      <c r="F19" s="741"/>
      <c r="G19" s="742">
        <f t="shared" si="5"/>
        <v>0</v>
      </c>
      <c r="H19" s="730">
        <f t="shared" ref="H19:N19" si="8">((((((((H10)+(H11))+(H12))+(H13))+(H14))+(H15))+(H16))+(H17))+(H18)</f>
        <v>0</v>
      </c>
      <c r="I19" s="730">
        <f t="shared" si="8"/>
        <v>184527</v>
      </c>
      <c r="J19" s="730">
        <f t="shared" si="8"/>
        <v>294866</v>
      </c>
      <c r="K19" s="730">
        <f t="shared" si="8"/>
        <v>113204</v>
      </c>
      <c r="L19" s="730">
        <f t="shared" si="8"/>
        <v>12106</v>
      </c>
      <c r="M19" s="730">
        <f t="shared" si="8"/>
        <v>15166</v>
      </c>
      <c r="N19" s="730">
        <f t="shared" si="8"/>
        <v>565</v>
      </c>
      <c r="O19" s="730">
        <f t="shared" si="1"/>
        <v>620434</v>
      </c>
      <c r="P19" s="730">
        <f t="shared" ref="P19:V19" si="9">((((((((P10)+(P11))+(P12))+(P13))+(P14))+(P15))+(P16))+(P17))+(P18)</f>
        <v>0</v>
      </c>
      <c r="Q19" s="730">
        <f t="shared" si="9"/>
        <v>8479</v>
      </c>
      <c r="R19" s="730">
        <f t="shared" si="9"/>
        <v>9409</v>
      </c>
      <c r="S19" s="730">
        <f t="shared" si="9"/>
        <v>10853</v>
      </c>
      <c r="T19" s="730">
        <f t="shared" si="9"/>
        <v>48633</v>
      </c>
      <c r="U19" s="730">
        <f t="shared" si="9"/>
        <v>11219</v>
      </c>
      <c r="V19" s="730">
        <f t="shared" si="9"/>
        <v>4704</v>
      </c>
      <c r="W19" s="730">
        <f t="shared" si="2"/>
        <v>93297</v>
      </c>
      <c r="X19" s="730">
        <f>((((((((X10)+(X11))+(X12))+(X13))+(X14))+(X15))+(X16))+(X17))+(X18)</f>
        <v>0</v>
      </c>
      <c r="Y19" s="730">
        <f>((((((((Y10)+(Y11))+(Y12))+(Y13))+(Y14))+(Y15))+(Y16))+(Y17))+(Y18)</f>
        <v>114873.3</v>
      </c>
      <c r="Z19" s="730">
        <f t="shared" si="3"/>
        <v>114873.3</v>
      </c>
      <c r="AA19" s="730">
        <f t="shared" si="4"/>
        <v>828604.3</v>
      </c>
    </row>
    <row r="20" spans="1:27">
      <c r="A20" s="478" t="e" cm="1">
        <f t="array" ref="A20">INDEX('Master Mapping'!O:O, MATCH(TRUE, EXACT(TEXT(LEFT(TRIM(B20), 7), "@"), 'Master Mapping'!A:A), 0))</f>
        <v>#N/A</v>
      </c>
      <c r="B20" s="727" t="s">
        <v>454</v>
      </c>
      <c r="C20" s="741"/>
      <c r="D20" s="741"/>
      <c r="E20" s="741"/>
      <c r="F20" s="741"/>
      <c r="G20" s="742">
        <f t="shared" si="5"/>
        <v>0</v>
      </c>
      <c r="H20" s="730">
        <f t="shared" ref="H20:N20" si="10">(H9)+(H19)</f>
        <v>0</v>
      </c>
      <c r="I20" s="730">
        <f t="shared" si="10"/>
        <v>184527</v>
      </c>
      <c r="J20" s="730">
        <f t="shared" si="10"/>
        <v>294866</v>
      </c>
      <c r="K20" s="730">
        <f t="shared" si="10"/>
        <v>113204</v>
      </c>
      <c r="L20" s="730">
        <f t="shared" si="10"/>
        <v>12106</v>
      </c>
      <c r="M20" s="730">
        <f t="shared" si="10"/>
        <v>15166</v>
      </c>
      <c r="N20" s="730">
        <f t="shared" si="10"/>
        <v>565</v>
      </c>
      <c r="O20" s="730">
        <f t="shared" si="1"/>
        <v>620434</v>
      </c>
      <c r="P20" s="730">
        <f t="shared" ref="P20:V20" si="11">(P9)+(P19)</f>
        <v>0</v>
      </c>
      <c r="Q20" s="730">
        <f t="shared" si="11"/>
        <v>8479</v>
      </c>
      <c r="R20" s="730">
        <f t="shared" si="11"/>
        <v>9409</v>
      </c>
      <c r="S20" s="730">
        <f t="shared" si="11"/>
        <v>10853</v>
      </c>
      <c r="T20" s="730">
        <f t="shared" si="11"/>
        <v>48633</v>
      </c>
      <c r="U20" s="730">
        <f t="shared" si="11"/>
        <v>11219</v>
      </c>
      <c r="V20" s="730">
        <f t="shared" si="11"/>
        <v>4704</v>
      </c>
      <c r="W20" s="730">
        <f t="shared" si="2"/>
        <v>93297</v>
      </c>
      <c r="X20" s="730">
        <f>(X9)+(X19)</f>
        <v>0</v>
      </c>
      <c r="Y20" s="730">
        <f>(Y9)+(Y19)</f>
        <v>114873.3</v>
      </c>
      <c r="Z20" s="730">
        <f t="shared" si="3"/>
        <v>114873.3</v>
      </c>
      <c r="AA20" s="730">
        <f t="shared" si="4"/>
        <v>828604.3</v>
      </c>
    </row>
    <row r="21" spans="1:27">
      <c r="A21" s="478" t="e" cm="1">
        <f t="array" ref="A21">INDEX('Master Mapping'!O:O, MATCH(TRUE, EXACT(TEXT(LEFT(TRIM(B21), 7), "@"), 'Master Mapping'!A:A), 0))</f>
        <v>#N/A</v>
      </c>
      <c r="B21" s="727" t="s">
        <v>270</v>
      </c>
      <c r="C21" s="741"/>
      <c r="D21" s="741"/>
      <c r="E21" s="741"/>
      <c r="F21" s="741"/>
      <c r="G21" s="742">
        <f t="shared" si="5"/>
        <v>0</v>
      </c>
      <c r="H21" s="730">
        <f t="shared" ref="H21:N21" si="12">(H20)-(0)</f>
        <v>0</v>
      </c>
      <c r="I21" s="730">
        <f t="shared" si="12"/>
        <v>184527</v>
      </c>
      <c r="J21" s="730">
        <f t="shared" si="12"/>
        <v>294866</v>
      </c>
      <c r="K21" s="730">
        <f t="shared" si="12"/>
        <v>113204</v>
      </c>
      <c r="L21" s="730">
        <f t="shared" si="12"/>
        <v>12106</v>
      </c>
      <c r="M21" s="730">
        <f t="shared" si="12"/>
        <v>15166</v>
      </c>
      <c r="N21" s="730">
        <f t="shared" si="12"/>
        <v>565</v>
      </c>
      <c r="O21" s="730">
        <f t="shared" si="1"/>
        <v>620434</v>
      </c>
      <c r="P21" s="730">
        <f t="shared" ref="P21:V21" si="13">(P20)-(0)</f>
        <v>0</v>
      </c>
      <c r="Q21" s="730">
        <f t="shared" si="13"/>
        <v>8479</v>
      </c>
      <c r="R21" s="730">
        <f t="shared" si="13"/>
        <v>9409</v>
      </c>
      <c r="S21" s="730">
        <f t="shared" si="13"/>
        <v>10853</v>
      </c>
      <c r="T21" s="730">
        <f t="shared" si="13"/>
        <v>48633</v>
      </c>
      <c r="U21" s="730">
        <f t="shared" si="13"/>
        <v>11219</v>
      </c>
      <c r="V21" s="730">
        <f t="shared" si="13"/>
        <v>4704</v>
      </c>
      <c r="W21" s="730">
        <f t="shared" si="2"/>
        <v>93297</v>
      </c>
      <c r="X21" s="730">
        <f>(X20)-(0)</f>
        <v>0</v>
      </c>
      <c r="Y21" s="730">
        <f>(Y20)-(0)</f>
        <v>114873.3</v>
      </c>
      <c r="Z21" s="730">
        <f t="shared" si="3"/>
        <v>114873.3</v>
      </c>
      <c r="AA21" s="730">
        <f t="shared" si="4"/>
        <v>828604.3</v>
      </c>
    </row>
    <row r="22" spans="1:27">
      <c r="A22" s="478" t="e" cm="1">
        <f t="array" ref="A22">INDEX('Master Mapping'!O:O, MATCH(TRUE, EXACT(TEXT(LEFT(TRIM(B22), 7), "@"), 'Master Mapping'!A:A), 0))</f>
        <v>#N/A</v>
      </c>
      <c r="B22" s="727" t="s">
        <v>243</v>
      </c>
      <c r="C22" s="741"/>
      <c r="D22" s="741"/>
      <c r="E22" s="741"/>
      <c r="F22" s="741"/>
      <c r="G22" s="742">
        <f t="shared" si="5"/>
        <v>0</v>
      </c>
      <c r="H22" s="728"/>
      <c r="I22" s="728"/>
      <c r="J22" s="728"/>
      <c r="K22" s="728"/>
      <c r="L22" s="728"/>
      <c r="M22" s="728"/>
      <c r="N22" s="728"/>
      <c r="O22" s="728"/>
      <c r="P22" s="728"/>
      <c r="Q22" s="728"/>
      <c r="R22" s="728"/>
      <c r="S22" s="728"/>
      <c r="T22" s="728"/>
      <c r="U22" s="728"/>
      <c r="V22" s="728"/>
      <c r="W22" s="728"/>
      <c r="X22" s="728"/>
      <c r="Y22" s="728"/>
      <c r="Z22" s="728"/>
      <c r="AA22" s="728"/>
    </row>
    <row r="23" spans="1:27">
      <c r="A23" s="478" t="e" cm="1">
        <f t="array" ref="A23">INDEX('Master Mapping'!O:O, MATCH(TRUE, EXACT(TEXT(LEFT(TRIM(B23), 7), "@"), 'Master Mapping'!A:A), 0))</f>
        <v>#N/A</v>
      </c>
      <c r="B23" s="727" t="s">
        <v>455</v>
      </c>
      <c r="C23" s="741"/>
      <c r="D23" s="741"/>
      <c r="E23" s="741"/>
      <c r="F23" s="741"/>
      <c r="G23" s="742">
        <f t="shared" si="5"/>
        <v>0</v>
      </c>
      <c r="H23" s="728"/>
      <c r="I23" s="728"/>
      <c r="J23" s="728"/>
      <c r="K23" s="728"/>
      <c r="L23" s="728"/>
      <c r="M23" s="728"/>
      <c r="N23" s="728"/>
      <c r="O23" s="729">
        <f t="shared" ref="O23:O73" si="14">((((((H23)+(I23))+(J23))+(K23))+(L23))+(M23))+(N23)</f>
        <v>0</v>
      </c>
      <c r="P23" s="728"/>
      <c r="Q23" s="728"/>
      <c r="R23" s="728"/>
      <c r="S23" s="728"/>
      <c r="T23" s="728"/>
      <c r="U23" s="728"/>
      <c r="V23" s="728"/>
      <c r="W23" s="729">
        <f t="shared" ref="W23:W73" si="15">((((((P23)+(Q23))+(R23))+(S23))+(T23))+(U23))+(V23)</f>
        <v>0</v>
      </c>
      <c r="X23" s="728"/>
      <c r="Y23" s="728"/>
      <c r="Z23" s="729">
        <f t="shared" ref="Z23:Z73" si="16">(X23)+(Y23)</f>
        <v>0</v>
      </c>
      <c r="AA23" s="729">
        <f t="shared" ref="AA23:AA73" si="17">(((G23)+(O23))+(W23))+(Z23)</f>
        <v>0</v>
      </c>
    </row>
    <row r="24" spans="1:27">
      <c r="A24" s="478" cm="1">
        <f t="array" ref="A24">INDEX('Master Mapping'!O:O, MATCH(TRUE, EXACT(TEXT(LEFT(TRIM(B24), 7), "@"), 'Master Mapping'!A:A), 0))</f>
        <v>13</v>
      </c>
      <c r="B24" s="727" t="s">
        <v>456</v>
      </c>
      <c r="C24" s="741"/>
      <c r="D24" s="741"/>
      <c r="E24" s="741"/>
      <c r="F24" s="741"/>
      <c r="G24" s="742">
        <f t="shared" si="5"/>
        <v>0</v>
      </c>
      <c r="H24" s="728"/>
      <c r="I24" s="728"/>
      <c r="J24" s="728"/>
      <c r="K24" s="728"/>
      <c r="L24" s="728"/>
      <c r="M24" s="728"/>
      <c r="N24" s="728"/>
      <c r="O24" s="729">
        <f t="shared" si="14"/>
        <v>0</v>
      </c>
      <c r="P24" s="728"/>
      <c r="Q24" s="728"/>
      <c r="R24" s="728"/>
      <c r="S24" s="728"/>
      <c r="T24" s="728"/>
      <c r="U24" s="728"/>
      <c r="V24" s="728"/>
      <c r="W24" s="729">
        <f t="shared" si="15"/>
        <v>0</v>
      </c>
      <c r="X24" s="728"/>
      <c r="Y24" s="728"/>
      <c r="Z24" s="729">
        <f t="shared" si="16"/>
        <v>0</v>
      </c>
      <c r="AA24" s="729">
        <f t="shared" si="17"/>
        <v>0</v>
      </c>
    </row>
    <row r="25" spans="1:27">
      <c r="A25" s="478" cm="1">
        <f t="array" ref="A25">INDEX('Master Mapping'!O:O, MATCH(TRUE, EXACT(TEXT(LEFT(TRIM(B25), 7), "@"), 'Master Mapping'!A:A), 0))</f>
        <v>16</v>
      </c>
      <c r="B25" s="727" t="s">
        <v>457</v>
      </c>
      <c r="C25" s="741"/>
      <c r="D25" s="741"/>
      <c r="E25" s="741"/>
      <c r="F25" s="741"/>
      <c r="G25" s="742">
        <f t="shared" si="5"/>
        <v>0</v>
      </c>
      <c r="H25" s="728"/>
      <c r="I25" s="728"/>
      <c r="J25" s="728"/>
      <c r="K25" s="728"/>
      <c r="L25" s="728"/>
      <c r="M25" s="728"/>
      <c r="N25" s="728"/>
      <c r="O25" s="729">
        <f t="shared" si="14"/>
        <v>0</v>
      </c>
      <c r="P25" s="728"/>
      <c r="Q25" s="728"/>
      <c r="R25" s="728"/>
      <c r="S25" s="728"/>
      <c r="T25" s="729">
        <f>3004.31</f>
        <v>3004.31</v>
      </c>
      <c r="U25" s="728"/>
      <c r="V25" s="728"/>
      <c r="W25" s="729">
        <f t="shared" si="15"/>
        <v>3004.31</v>
      </c>
      <c r="X25" s="728"/>
      <c r="Y25" s="728"/>
      <c r="Z25" s="729">
        <f t="shared" si="16"/>
        <v>0</v>
      </c>
      <c r="AA25" s="729">
        <f t="shared" si="17"/>
        <v>3004.31</v>
      </c>
    </row>
    <row r="26" spans="1:27">
      <c r="A26" s="478" cm="1">
        <f t="array" ref="A26">INDEX('Master Mapping'!O:O, MATCH(TRUE, EXACT(TEXT(LEFT(TRIM(B26), 7), "@"), 'Master Mapping'!A:A), 0))</f>
        <v>16</v>
      </c>
      <c r="B26" s="727" t="s">
        <v>458</v>
      </c>
      <c r="C26" s="741"/>
      <c r="D26" s="741"/>
      <c r="E26" s="741"/>
      <c r="F26" s="741"/>
      <c r="G26" s="742">
        <f t="shared" si="5"/>
        <v>0</v>
      </c>
      <c r="H26" s="728"/>
      <c r="I26" s="728"/>
      <c r="J26" s="728"/>
      <c r="K26" s="728"/>
      <c r="L26" s="728"/>
      <c r="M26" s="728"/>
      <c r="N26" s="728"/>
      <c r="O26" s="729">
        <f t="shared" si="14"/>
        <v>0</v>
      </c>
      <c r="P26" s="728"/>
      <c r="Q26" s="728"/>
      <c r="R26" s="728"/>
      <c r="S26" s="728"/>
      <c r="T26" s="728"/>
      <c r="U26" s="728"/>
      <c r="V26" s="728"/>
      <c r="W26" s="729">
        <f t="shared" si="15"/>
        <v>0</v>
      </c>
      <c r="X26" s="728"/>
      <c r="Y26" s="728"/>
      <c r="Z26" s="729">
        <f t="shared" si="16"/>
        <v>0</v>
      </c>
      <c r="AA26" s="729">
        <f t="shared" si="17"/>
        <v>0</v>
      </c>
    </row>
    <row r="27" spans="1:27">
      <c r="A27" s="478" cm="1">
        <f t="array" ref="A27">INDEX('Master Mapping'!O:O, MATCH(TRUE, EXACT(TEXT(LEFT(TRIM(B27), 7), "@"), 'Master Mapping'!A:A), 0))</f>
        <v>7</v>
      </c>
      <c r="B27" s="727" t="s">
        <v>460</v>
      </c>
      <c r="C27" s="741"/>
      <c r="D27" s="741"/>
      <c r="E27" s="741"/>
      <c r="F27" s="741"/>
      <c r="G27" s="742">
        <f t="shared" si="5"/>
        <v>0</v>
      </c>
      <c r="H27" s="728"/>
      <c r="I27" s="729">
        <f>46736.99</f>
        <v>46736.99</v>
      </c>
      <c r="J27" s="728"/>
      <c r="K27" s="728"/>
      <c r="L27" s="728"/>
      <c r="M27" s="729">
        <f>7884.6</f>
        <v>7884.6</v>
      </c>
      <c r="N27" s="728"/>
      <c r="O27" s="729">
        <f t="shared" si="14"/>
        <v>54621.59</v>
      </c>
      <c r="P27" s="728"/>
      <c r="Q27" s="728"/>
      <c r="R27" s="729">
        <f>10024</f>
        <v>10024</v>
      </c>
      <c r="S27" s="728"/>
      <c r="T27" s="729">
        <f>56123.2</f>
        <v>56123.199999999997</v>
      </c>
      <c r="U27" s="729">
        <f>7900</f>
        <v>7900</v>
      </c>
      <c r="V27" s="729">
        <f>6579.54</f>
        <v>6579.54</v>
      </c>
      <c r="W27" s="729">
        <f t="shared" si="15"/>
        <v>80626.739999999991</v>
      </c>
      <c r="X27" s="728"/>
      <c r="Y27" s="728"/>
      <c r="Z27" s="729">
        <f t="shared" si="16"/>
        <v>0</v>
      </c>
      <c r="AA27" s="729">
        <f t="shared" si="17"/>
        <v>135248.32999999999</v>
      </c>
    </row>
    <row r="28" spans="1:27">
      <c r="A28" s="478" cm="1">
        <f t="array" ref="A28">INDEX('Master Mapping'!O:O, MATCH(TRUE, EXACT(TEXT(LEFT(TRIM(B28), 7), "@"), 'Master Mapping'!A:A), 0))</f>
        <v>8</v>
      </c>
      <c r="B28" s="727" t="s">
        <v>461</v>
      </c>
      <c r="C28" s="741"/>
      <c r="D28" s="741"/>
      <c r="E28" s="741"/>
      <c r="F28" s="741"/>
      <c r="G28" s="742">
        <f t="shared" si="5"/>
        <v>0</v>
      </c>
      <c r="H28" s="728"/>
      <c r="I28" s="728"/>
      <c r="J28" s="728"/>
      <c r="K28" s="728"/>
      <c r="L28" s="728"/>
      <c r="M28" s="729">
        <f>13875.67</f>
        <v>13875.67</v>
      </c>
      <c r="N28" s="729">
        <f>565</f>
        <v>565</v>
      </c>
      <c r="O28" s="729">
        <f t="shared" si="14"/>
        <v>14440.67</v>
      </c>
      <c r="P28" s="728"/>
      <c r="Q28" s="729">
        <f>10175.28</f>
        <v>10175.280000000001</v>
      </c>
      <c r="R28" s="728"/>
      <c r="S28" s="728"/>
      <c r="T28" s="728"/>
      <c r="U28" s="729">
        <f>800</f>
        <v>800</v>
      </c>
      <c r="V28" s="728"/>
      <c r="W28" s="729">
        <f t="shared" si="15"/>
        <v>10975.28</v>
      </c>
      <c r="X28" s="728"/>
      <c r="Y28" s="728"/>
      <c r="Z28" s="729">
        <f t="shared" si="16"/>
        <v>0</v>
      </c>
      <c r="AA28" s="729">
        <f t="shared" si="17"/>
        <v>25415.95</v>
      </c>
    </row>
    <row r="29" spans="1:27">
      <c r="A29" s="478" cm="1">
        <f t="array" ref="A29">INDEX('Master Mapping'!O:O, MATCH(TRUE, EXACT(TEXT(LEFT(TRIM(B29), 7), "@"), 'Master Mapping'!A:A), 0))</f>
        <v>13</v>
      </c>
      <c r="B29" s="727" t="s">
        <v>462</v>
      </c>
      <c r="C29" s="741"/>
      <c r="D29" s="741"/>
      <c r="E29" s="741"/>
      <c r="F29" s="741"/>
      <c r="G29" s="742">
        <f t="shared" si="5"/>
        <v>0</v>
      </c>
      <c r="H29" s="728"/>
      <c r="I29" s="728"/>
      <c r="J29" s="728"/>
      <c r="K29" s="728"/>
      <c r="L29" s="728"/>
      <c r="M29" s="728"/>
      <c r="N29" s="728"/>
      <c r="O29" s="729">
        <f t="shared" si="14"/>
        <v>0</v>
      </c>
      <c r="P29" s="728"/>
      <c r="Q29" s="728"/>
      <c r="R29" s="728"/>
      <c r="S29" s="728"/>
      <c r="T29" s="728"/>
      <c r="U29" s="728"/>
      <c r="V29" s="728"/>
      <c r="W29" s="729">
        <f t="shared" si="15"/>
        <v>0</v>
      </c>
      <c r="X29" s="728"/>
      <c r="Y29" s="728"/>
      <c r="Z29" s="729">
        <f t="shared" si="16"/>
        <v>0</v>
      </c>
      <c r="AA29" s="729">
        <f t="shared" si="17"/>
        <v>0</v>
      </c>
    </row>
    <row r="30" spans="1:27">
      <c r="A30" s="478" cm="1">
        <f t="array" ref="A30">INDEX('Master Mapping'!O:O, MATCH(TRUE, EXACT(TEXT(LEFT(TRIM(B30), 7), "@"), 'Master Mapping'!A:A), 0))</f>
        <v>14</v>
      </c>
      <c r="B30" s="727" t="s">
        <v>463</v>
      </c>
      <c r="C30" s="741"/>
      <c r="D30" s="741"/>
      <c r="E30" s="741"/>
      <c r="F30" s="741"/>
      <c r="G30" s="742">
        <f t="shared" si="5"/>
        <v>0</v>
      </c>
      <c r="H30" s="728"/>
      <c r="I30" s="728"/>
      <c r="J30" s="728"/>
      <c r="K30" s="728"/>
      <c r="L30" s="728"/>
      <c r="M30" s="728"/>
      <c r="N30" s="728"/>
      <c r="O30" s="729">
        <f t="shared" si="14"/>
        <v>0</v>
      </c>
      <c r="P30" s="728"/>
      <c r="Q30" s="728"/>
      <c r="R30" s="729">
        <f>2250</f>
        <v>2250</v>
      </c>
      <c r="S30" s="728"/>
      <c r="T30" s="728"/>
      <c r="U30" s="729">
        <f>2519</f>
        <v>2519</v>
      </c>
      <c r="V30" s="728"/>
      <c r="W30" s="729">
        <f t="shared" si="15"/>
        <v>4769</v>
      </c>
      <c r="X30" s="728"/>
      <c r="Y30" s="728"/>
      <c r="Z30" s="729">
        <f t="shared" si="16"/>
        <v>0</v>
      </c>
      <c r="AA30" s="729">
        <f t="shared" si="17"/>
        <v>4769</v>
      </c>
    </row>
    <row r="31" spans="1:27">
      <c r="A31" s="478" cm="1">
        <f t="array" ref="A31">INDEX('Master Mapping'!O:O, MATCH(TRUE, EXACT(TEXT(LEFT(TRIM(B31), 7), "@"), 'Master Mapping'!A:A), 0))</f>
        <v>18</v>
      </c>
      <c r="B31" s="727" t="s">
        <v>465</v>
      </c>
      <c r="C31" s="741"/>
      <c r="D31" s="741"/>
      <c r="E31" s="741"/>
      <c r="F31" s="741"/>
      <c r="G31" s="742">
        <f t="shared" si="5"/>
        <v>0</v>
      </c>
      <c r="H31" s="728"/>
      <c r="I31" s="728"/>
      <c r="J31" s="728"/>
      <c r="K31" s="728"/>
      <c r="L31" s="728"/>
      <c r="M31" s="728"/>
      <c r="N31" s="728"/>
      <c r="O31" s="729">
        <f t="shared" si="14"/>
        <v>0</v>
      </c>
      <c r="P31" s="728"/>
      <c r="Q31" s="728"/>
      <c r="R31" s="728"/>
      <c r="S31" s="728"/>
      <c r="T31" s="728"/>
      <c r="U31" s="728"/>
      <c r="V31" s="728"/>
      <c r="W31" s="729">
        <f t="shared" si="15"/>
        <v>0</v>
      </c>
      <c r="X31" s="728"/>
      <c r="Y31" s="728"/>
      <c r="Z31" s="729">
        <f t="shared" si="16"/>
        <v>0</v>
      </c>
      <c r="AA31" s="729">
        <f t="shared" si="17"/>
        <v>0</v>
      </c>
    </row>
    <row r="32" spans="1:27">
      <c r="A32" s="478" t="e" cm="1">
        <f t="array" ref="A32">INDEX('Master Mapping'!O:O, MATCH(TRUE, EXACT(TEXT(LEFT(TRIM(B32), 7), "@"), 'Master Mapping'!A:A), 0))</f>
        <v>#N/A</v>
      </c>
      <c r="B32" s="727" t="s">
        <v>466</v>
      </c>
      <c r="C32" s="741"/>
      <c r="D32" s="741"/>
      <c r="E32" s="741"/>
      <c r="F32" s="741"/>
      <c r="G32" s="742">
        <f t="shared" si="5"/>
        <v>0</v>
      </c>
      <c r="H32" s="730">
        <f t="shared" ref="H32:N32" si="18">((((((((H23)+(H24))+(H25))+(H26))+(H27))+(H28))+(H29))+(H30))+(H31)</f>
        <v>0</v>
      </c>
      <c r="I32" s="730">
        <f t="shared" si="18"/>
        <v>46736.99</v>
      </c>
      <c r="J32" s="730">
        <f t="shared" si="18"/>
        <v>0</v>
      </c>
      <c r="K32" s="730">
        <f t="shared" si="18"/>
        <v>0</v>
      </c>
      <c r="L32" s="730">
        <f t="shared" si="18"/>
        <v>0</v>
      </c>
      <c r="M32" s="730">
        <f t="shared" si="18"/>
        <v>21760.27</v>
      </c>
      <c r="N32" s="730">
        <f t="shared" si="18"/>
        <v>565</v>
      </c>
      <c r="O32" s="730">
        <f t="shared" si="14"/>
        <v>69062.259999999995</v>
      </c>
      <c r="P32" s="730">
        <f t="shared" ref="P32:V32" si="19">((((((((P23)+(P24))+(P25))+(P26))+(P27))+(P28))+(P29))+(P30))+(P31)</f>
        <v>0</v>
      </c>
      <c r="Q32" s="730">
        <f t="shared" si="19"/>
        <v>10175.280000000001</v>
      </c>
      <c r="R32" s="730">
        <f t="shared" si="19"/>
        <v>12274</v>
      </c>
      <c r="S32" s="730">
        <f t="shared" si="19"/>
        <v>0</v>
      </c>
      <c r="T32" s="730">
        <f t="shared" si="19"/>
        <v>59127.509999999995</v>
      </c>
      <c r="U32" s="730">
        <f t="shared" si="19"/>
        <v>11219</v>
      </c>
      <c r="V32" s="730">
        <f t="shared" si="19"/>
        <v>6579.54</v>
      </c>
      <c r="W32" s="730">
        <f t="shared" si="15"/>
        <v>99375.329999999987</v>
      </c>
      <c r="X32" s="730">
        <f>((((((((X23)+(X24))+(X25))+(X26))+(X27))+(X28))+(X29))+(X30))+(X31)</f>
        <v>0</v>
      </c>
      <c r="Y32" s="730">
        <f>((((((((Y23)+(Y24))+(Y25))+(Y26))+(Y27))+(Y28))+(Y29))+(Y30))+(Y31)</f>
        <v>0</v>
      </c>
      <c r="Z32" s="730">
        <f t="shared" si="16"/>
        <v>0</v>
      </c>
      <c r="AA32" s="730">
        <f t="shared" si="17"/>
        <v>168437.58999999997</v>
      </c>
    </row>
    <row r="33" spans="1:27">
      <c r="A33" s="478" t="e" cm="1">
        <f t="array" ref="A33">INDEX('Master Mapping'!O:O, MATCH(TRUE, EXACT(TEXT(LEFT(TRIM(B33), 7), "@"), 'Master Mapping'!A:A), 0))</f>
        <v>#N/A</v>
      </c>
      <c r="B33" s="727" t="s">
        <v>467</v>
      </c>
      <c r="C33" s="741"/>
      <c r="D33" s="741"/>
      <c r="E33" s="741"/>
      <c r="F33" s="741"/>
      <c r="G33" s="742">
        <f t="shared" si="5"/>
        <v>0</v>
      </c>
      <c r="H33" s="728"/>
      <c r="I33" s="728"/>
      <c r="J33" s="728"/>
      <c r="K33" s="728"/>
      <c r="L33" s="728"/>
      <c r="M33" s="728"/>
      <c r="N33" s="728"/>
      <c r="O33" s="729">
        <f t="shared" si="14"/>
        <v>0</v>
      </c>
      <c r="P33" s="728"/>
      <c r="Q33" s="728"/>
      <c r="R33" s="728"/>
      <c r="S33" s="728"/>
      <c r="T33" s="728"/>
      <c r="U33" s="728"/>
      <c r="V33" s="728"/>
      <c r="W33" s="729">
        <f t="shared" si="15"/>
        <v>0</v>
      </c>
      <c r="X33" s="728"/>
      <c r="Y33" s="728"/>
      <c r="Z33" s="729">
        <f t="shared" si="16"/>
        <v>0</v>
      </c>
      <c r="AA33" s="729">
        <f t="shared" si="17"/>
        <v>0</v>
      </c>
    </row>
    <row r="34" spans="1:27">
      <c r="A34" s="478" t="e" cm="1">
        <f t="array" ref="A34">INDEX('Master Mapping'!O:O, MATCH(TRUE, EXACT(TEXT(LEFT(TRIM(B34), 7), "@"), 'Master Mapping'!A:A), 0))</f>
        <v>#N/A</v>
      </c>
      <c r="B34" s="727" t="s">
        <v>468</v>
      </c>
      <c r="C34" s="741"/>
      <c r="D34" s="741"/>
      <c r="E34" s="741"/>
      <c r="F34" s="741"/>
      <c r="G34" s="742">
        <f t="shared" si="5"/>
        <v>0</v>
      </c>
      <c r="H34" s="728"/>
      <c r="I34" s="728"/>
      <c r="J34" s="728"/>
      <c r="K34" s="728"/>
      <c r="L34" s="728"/>
      <c r="M34" s="728"/>
      <c r="N34" s="728"/>
      <c r="O34" s="729">
        <f t="shared" si="14"/>
        <v>0</v>
      </c>
      <c r="P34" s="728"/>
      <c r="Q34" s="728"/>
      <c r="R34" s="728"/>
      <c r="S34" s="728"/>
      <c r="T34" s="728"/>
      <c r="U34" s="728"/>
      <c r="V34" s="728"/>
      <c r="W34" s="729">
        <f t="shared" si="15"/>
        <v>0</v>
      </c>
      <c r="X34" s="728"/>
      <c r="Y34" s="728"/>
      <c r="Z34" s="729">
        <f t="shared" si="16"/>
        <v>0</v>
      </c>
      <c r="AA34" s="729">
        <f t="shared" si="17"/>
        <v>0</v>
      </c>
    </row>
    <row r="35" spans="1:27">
      <c r="A35" s="478" cm="1">
        <f t="array" ref="A35">INDEX('Master Mapping'!O:O, MATCH(TRUE, EXACT(TEXT(LEFT(TRIM(B35), 7), "@"), 'Master Mapping'!A:A), 0))</f>
        <v>7</v>
      </c>
      <c r="B35" s="727" t="s">
        <v>469</v>
      </c>
      <c r="C35" s="741"/>
      <c r="D35" s="741"/>
      <c r="E35" s="741"/>
      <c r="F35" s="741"/>
      <c r="G35" s="742">
        <f t="shared" si="5"/>
        <v>0</v>
      </c>
      <c r="H35" s="728"/>
      <c r="I35" s="729">
        <f>4218.79</f>
        <v>4218.79</v>
      </c>
      <c r="J35" s="728"/>
      <c r="K35" s="728"/>
      <c r="L35" s="728"/>
      <c r="M35" s="728"/>
      <c r="N35" s="728"/>
      <c r="O35" s="729">
        <f t="shared" si="14"/>
        <v>4218.79</v>
      </c>
      <c r="P35" s="728"/>
      <c r="Q35" s="728"/>
      <c r="R35" s="728"/>
      <c r="S35" s="728"/>
      <c r="T35" s="728"/>
      <c r="U35" s="728"/>
      <c r="V35" s="728"/>
      <c r="W35" s="729">
        <f t="shared" si="15"/>
        <v>0</v>
      </c>
      <c r="X35" s="728"/>
      <c r="Y35" s="728"/>
      <c r="Z35" s="729">
        <f t="shared" si="16"/>
        <v>0</v>
      </c>
      <c r="AA35" s="729">
        <f t="shared" si="17"/>
        <v>4218.79</v>
      </c>
    </row>
    <row r="36" spans="1:27">
      <c r="A36" s="478" t="e" cm="1">
        <f t="array" ref="A36">INDEX('Master Mapping'!O:O, MATCH(TRUE, EXACT(TEXT(LEFT(TRIM(B36), 7), "@"), 'Master Mapping'!A:A), 0))</f>
        <v>#N/A</v>
      </c>
      <c r="B36" s="727" t="s">
        <v>476</v>
      </c>
      <c r="C36" s="741"/>
      <c r="D36" s="741"/>
      <c r="E36" s="741"/>
      <c r="F36" s="741"/>
      <c r="G36" s="742">
        <f t="shared" si="5"/>
        <v>0</v>
      </c>
      <c r="H36" s="730">
        <f t="shared" ref="H36:N36" si="20">(H34)+(H35)</f>
        <v>0</v>
      </c>
      <c r="I36" s="730">
        <f t="shared" si="20"/>
        <v>4218.79</v>
      </c>
      <c r="J36" s="730">
        <f t="shared" si="20"/>
        <v>0</v>
      </c>
      <c r="K36" s="730">
        <f t="shared" si="20"/>
        <v>0</v>
      </c>
      <c r="L36" s="730">
        <f t="shared" si="20"/>
        <v>0</v>
      </c>
      <c r="M36" s="730">
        <f t="shared" si="20"/>
        <v>0</v>
      </c>
      <c r="N36" s="730">
        <f t="shared" si="20"/>
        <v>0</v>
      </c>
      <c r="O36" s="730">
        <f t="shared" si="14"/>
        <v>4218.79</v>
      </c>
      <c r="P36" s="730">
        <f t="shared" ref="P36:V36" si="21">(P34)+(P35)</f>
        <v>0</v>
      </c>
      <c r="Q36" s="730">
        <f t="shared" si="21"/>
        <v>0</v>
      </c>
      <c r="R36" s="730">
        <f t="shared" si="21"/>
        <v>0</v>
      </c>
      <c r="S36" s="730">
        <f t="shared" si="21"/>
        <v>0</v>
      </c>
      <c r="T36" s="730">
        <f t="shared" si="21"/>
        <v>0</v>
      </c>
      <c r="U36" s="730">
        <f t="shared" si="21"/>
        <v>0</v>
      </c>
      <c r="V36" s="730">
        <f t="shared" si="21"/>
        <v>0</v>
      </c>
      <c r="W36" s="730">
        <f t="shared" si="15"/>
        <v>0</v>
      </c>
      <c r="X36" s="730">
        <f>(X34)+(X35)</f>
        <v>0</v>
      </c>
      <c r="Y36" s="730">
        <f>(Y34)+(Y35)</f>
        <v>0</v>
      </c>
      <c r="Z36" s="730">
        <f t="shared" si="16"/>
        <v>0</v>
      </c>
      <c r="AA36" s="730">
        <f t="shared" si="17"/>
        <v>4218.79</v>
      </c>
    </row>
    <row r="37" spans="1:27">
      <c r="A37" s="478" t="e" cm="1">
        <f t="array" ref="A37">INDEX('Master Mapping'!O:O, MATCH(TRUE, EXACT(TEXT(LEFT(TRIM(B37), 7), "@"), 'Master Mapping'!A:A), 0))</f>
        <v>#N/A</v>
      </c>
      <c r="B37" s="727" t="s">
        <v>477</v>
      </c>
      <c r="C37" s="741"/>
      <c r="D37" s="741"/>
      <c r="E37" s="741"/>
      <c r="F37" s="741"/>
      <c r="G37" s="742">
        <f t="shared" si="5"/>
        <v>0</v>
      </c>
      <c r="H37" s="728"/>
      <c r="I37" s="728"/>
      <c r="J37" s="728"/>
      <c r="K37" s="728"/>
      <c r="L37" s="728"/>
      <c r="M37" s="728"/>
      <c r="N37" s="728"/>
      <c r="O37" s="729">
        <f t="shared" si="14"/>
        <v>0</v>
      </c>
      <c r="P37" s="728"/>
      <c r="Q37" s="728"/>
      <c r="R37" s="728"/>
      <c r="S37" s="728"/>
      <c r="T37" s="728"/>
      <c r="U37" s="728"/>
      <c r="V37" s="728"/>
      <c r="W37" s="729">
        <f t="shared" si="15"/>
        <v>0</v>
      </c>
      <c r="X37" s="728"/>
      <c r="Y37" s="728"/>
      <c r="Z37" s="729">
        <f t="shared" si="16"/>
        <v>0</v>
      </c>
      <c r="AA37" s="729">
        <f t="shared" si="17"/>
        <v>0</v>
      </c>
    </row>
    <row r="38" spans="1:27">
      <c r="A38" s="478" cm="1">
        <f t="array" ref="A38">INDEX('Master Mapping'!O:O, MATCH(TRUE, EXACT(TEXT(LEFT(TRIM(B38), 7), "@"), 'Master Mapping'!A:A), 0))</f>
        <v>7</v>
      </c>
      <c r="B38" s="727" t="s">
        <v>478</v>
      </c>
      <c r="C38" s="741"/>
      <c r="D38" s="741"/>
      <c r="E38" s="741"/>
      <c r="F38" s="741"/>
      <c r="G38" s="742">
        <f t="shared" si="5"/>
        <v>0</v>
      </c>
      <c r="H38" s="728"/>
      <c r="I38" s="729">
        <f>2212.22</f>
        <v>2212.2199999999998</v>
      </c>
      <c r="J38" s="728"/>
      <c r="K38" s="728"/>
      <c r="L38" s="728"/>
      <c r="M38" s="728"/>
      <c r="N38" s="728"/>
      <c r="O38" s="729">
        <f t="shared" si="14"/>
        <v>2212.2199999999998</v>
      </c>
      <c r="P38" s="728"/>
      <c r="Q38" s="728"/>
      <c r="R38" s="728"/>
      <c r="S38" s="728"/>
      <c r="T38" s="728"/>
      <c r="U38" s="728"/>
      <c r="V38" s="728"/>
      <c r="W38" s="729">
        <f t="shared" si="15"/>
        <v>0</v>
      </c>
      <c r="X38" s="728"/>
      <c r="Y38" s="728"/>
      <c r="Z38" s="729">
        <f t="shared" si="16"/>
        <v>0</v>
      </c>
      <c r="AA38" s="729">
        <f t="shared" si="17"/>
        <v>2212.2199999999998</v>
      </c>
    </row>
    <row r="39" spans="1:27">
      <c r="A39" s="478" cm="1">
        <f t="array" ref="A39">INDEX('Master Mapping'!O:O, MATCH(TRUE, EXACT(TEXT(LEFT(TRIM(B39), 7), "@"), 'Master Mapping'!A:A), 0))</f>
        <v>8</v>
      </c>
      <c r="B39" s="727" t="s">
        <v>479</v>
      </c>
      <c r="C39" s="741"/>
      <c r="D39" s="741"/>
      <c r="E39" s="741"/>
      <c r="F39" s="741"/>
      <c r="G39" s="742">
        <f t="shared" si="5"/>
        <v>0</v>
      </c>
      <c r="H39" s="728"/>
      <c r="I39" s="728"/>
      <c r="J39" s="728"/>
      <c r="K39" s="728"/>
      <c r="L39" s="728"/>
      <c r="M39" s="728"/>
      <c r="N39" s="728"/>
      <c r="O39" s="729">
        <f t="shared" si="14"/>
        <v>0</v>
      </c>
      <c r="P39" s="728"/>
      <c r="Q39" s="728"/>
      <c r="R39" s="728"/>
      <c r="S39" s="728"/>
      <c r="T39" s="728"/>
      <c r="U39" s="728"/>
      <c r="V39" s="728"/>
      <c r="W39" s="729">
        <f t="shared" si="15"/>
        <v>0</v>
      </c>
      <c r="X39" s="728"/>
      <c r="Y39" s="728"/>
      <c r="Z39" s="729">
        <f t="shared" si="16"/>
        <v>0</v>
      </c>
      <c r="AA39" s="729">
        <f t="shared" si="17"/>
        <v>0</v>
      </c>
    </row>
    <row r="40" spans="1:27">
      <c r="A40" s="478" cm="1">
        <f t="array" ref="A40">INDEX('Master Mapping'!O:O, MATCH(TRUE, EXACT(TEXT(LEFT(TRIM(B40), 7), "@"), 'Master Mapping'!A:A), 0))</f>
        <v>13</v>
      </c>
      <c r="B40" s="727" t="s">
        <v>480</v>
      </c>
      <c r="C40" s="741"/>
      <c r="D40" s="741"/>
      <c r="E40" s="741"/>
      <c r="F40" s="741"/>
      <c r="G40" s="742">
        <f t="shared" si="5"/>
        <v>0</v>
      </c>
      <c r="H40" s="728"/>
      <c r="I40" s="728"/>
      <c r="J40" s="728"/>
      <c r="K40" s="728"/>
      <c r="L40" s="728"/>
      <c r="M40" s="728"/>
      <c r="N40" s="728"/>
      <c r="O40" s="729">
        <f t="shared" si="14"/>
        <v>0</v>
      </c>
      <c r="P40" s="728"/>
      <c r="Q40" s="728"/>
      <c r="R40" s="728"/>
      <c r="S40" s="728"/>
      <c r="T40" s="728"/>
      <c r="U40" s="728"/>
      <c r="V40" s="728"/>
      <c r="W40" s="729">
        <f t="shared" si="15"/>
        <v>0</v>
      </c>
      <c r="X40" s="728"/>
      <c r="Y40" s="728"/>
      <c r="Z40" s="729">
        <f t="shared" si="16"/>
        <v>0</v>
      </c>
      <c r="AA40" s="729">
        <f t="shared" si="17"/>
        <v>0</v>
      </c>
    </row>
    <row r="41" spans="1:27">
      <c r="A41" s="478" cm="1">
        <f t="array" ref="A41">INDEX('Master Mapping'!O:O, MATCH(TRUE, EXACT(TEXT(LEFT(TRIM(B41), 7), "@"), 'Master Mapping'!A:A), 0))</f>
        <v>13</v>
      </c>
      <c r="B41" s="727" t="s">
        <v>481</v>
      </c>
      <c r="C41" s="741"/>
      <c r="D41" s="741"/>
      <c r="E41" s="741"/>
      <c r="F41" s="741"/>
      <c r="G41" s="742">
        <f t="shared" si="5"/>
        <v>0</v>
      </c>
      <c r="H41" s="728"/>
      <c r="I41" s="728"/>
      <c r="J41" s="728"/>
      <c r="K41" s="728"/>
      <c r="L41" s="728"/>
      <c r="M41" s="728"/>
      <c r="N41" s="728"/>
      <c r="O41" s="729">
        <f t="shared" si="14"/>
        <v>0</v>
      </c>
      <c r="P41" s="728"/>
      <c r="Q41" s="728"/>
      <c r="R41" s="728"/>
      <c r="S41" s="728"/>
      <c r="T41" s="728"/>
      <c r="U41" s="728"/>
      <c r="V41" s="728"/>
      <c r="W41" s="729">
        <f t="shared" si="15"/>
        <v>0</v>
      </c>
      <c r="X41" s="728"/>
      <c r="Y41" s="728"/>
      <c r="Z41" s="729">
        <f t="shared" si="16"/>
        <v>0</v>
      </c>
      <c r="AA41" s="729">
        <f t="shared" si="17"/>
        <v>0</v>
      </c>
    </row>
    <row r="42" spans="1:27">
      <c r="A42" s="478" cm="1">
        <f t="array" ref="A42">INDEX('Master Mapping'!O:O, MATCH(TRUE, EXACT(TEXT(LEFT(TRIM(B42), 7), "@"), 'Master Mapping'!A:A), 0))</f>
        <v>14</v>
      </c>
      <c r="B42" s="727" t="s">
        <v>482</v>
      </c>
      <c r="C42" s="741"/>
      <c r="D42" s="741"/>
      <c r="E42" s="741"/>
      <c r="F42" s="741"/>
      <c r="G42" s="742">
        <f t="shared" si="5"/>
        <v>0</v>
      </c>
      <c r="H42" s="728"/>
      <c r="I42" s="728"/>
      <c r="J42" s="728"/>
      <c r="K42" s="728"/>
      <c r="L42" s="728"/>
      <c r="M42" s="728"/>
      <c r="N42" s="728"/>
      <c r="O42" s="729">
        <f t="shared" si="14"/>
        <v>0</v>
      </c>
      <c r="P42" s="728"/>
      <c r="Q42" s="728"/>
      <c r="R42" s="728"/>
      <c r="S42" s="728"/>
      <c r="T42" s="728"/>
      <c r="U42" s="728"/>
      <c r="V42" s="728"/>
      <c r="W42" s="729">
        <f t="shared" si="15"/>
        <v>0</v>
      </c>
      <c r="X42" s="728"/>
      <c r="Y42" s="728"/>
      <c r="Z42" s="729">
        <f t="shared" si="16"/>
        <v>0</v>
      </c>
      <c r="AA42" s="729">
        <f t="shared" si="17"/>
        <v>0</v>
      </c>
    </row>
    <row r="43" spans="1:27">
      <c r="A43" s="478" cm="1">
        <f t="array" ref="A43">INDEX('Master Mapping'!O:O, MATCH(TRUE, EXACT(TEXT(LEFT(TRIM(B43), 7), "@"), 'Master Mapping'!A:A), 0))</f>
        <v>16</v>
      </c>
      <c r="B43" s="727" t="s">
        <v>483</v>
      </c>
      <c r="C43" s="741"/>
      <c r="D43" s="741"/>
      <c r="E43" s="741"/>
      <c r="F43" s="741"/>
      <c r="G43" s="742">
        <f t="shared" si="5"/>
        <v>0</v>
      </c>
      <c r="H43" s="728"/>
      <c r="I43" s="728"/>
      <c r="J43" s="728"/>
      <c r="K43" s="728"/>
      <c r="L43" s="728"/>
      <c r="M43" s="728"/>
      <c r="N43" s="728"/>
      <c r="O43" s="729">
        <f t="shared" si="14"/>
        <v>0</v>
      </c>
      <c r="P43" s="728"/>
      <c r="Q43" s="728"/>
      <c r="R43" s="728"/>
      <c r="S43" s="728"/>
      <c r="T43" s="728"/>
      <c r="U43" s="728"/>
      <c r="V43" s="728"/>
      <c r="W43" s="729">
        <f t="shared" si="15"/>
        <v>0</v>
      </c>
      <c r="X43" s="728"/>
      <c r="Y43" s="728"/>
      <c r="Z43" s="729">
        <f t="shared" si="16"/>
        <v>0</v>
      </c>
      <c r="AA43" s="729">
        <f t="shared" si="17"/>
        <v>0</v>
      </c>
    </row>
    <row r="44" spans="1:27">
      <c r="A44" s="478" cm="1">
        <f t="array" ref="A44">INDEX('Master Mapping'!O:O, MATCH(TRUE, EXACT(TEXT(LEFT(TRIM(B44), 7), "@"), 'Master Mapping'!A:A), 0))</f>
        <v>18</v>
      </c>
      <c r="B44" s="727" t="s">
        <v>484</v>
      </c>
      <c r="C44" s="741"/>
      <c r="D44" s="741"/>
      <c r="E44" s="741"/>
      <c r="F44" s="741"/>
      <c r="G44" s="742">
        <f t="shared" si="5"/>
        <v>0</v>
      </c>
      <c r="H44" s="728"/>
      <c r="I44" s="728"/>
      <c r="J44" s="728"/>
      <c r="K44" s="728"/>
      <c r="L44" s="728"/>
      <c r="M44" s="728"/>
      <c r="N44" s="728"/>
      <c r="O44" s="729">
        <f t="shared" si="14"/>
        <v>0</v>
      </c>
      <c r="P44" s="728"/>
      <c r="Q44" s="728"/>
      <c r="R44" s="728"/>
      <c r="S44" s="728"/>
      <c r="T44" s="728"/>
      <c r="U44" s="728"/>
      <c r="V44" s="728"/>
      <c r="W44" s="729">
        <f t="shared" si="15"/>
        <v>0</v>
      </c>
      <c r="X44" s="728"/>
      <c r="Y44" s="728"/>
      <c r="Z44" s="729">
        <f t="shared" si="16"/>
        <v>0</v>
      </c>
      <c r="AA44" s="729">
        <f t="shared" si="17"/>
        <v>0</v>
      </c>
    </row>
    <row r="45" spans="1:27">
      <c r="A45" s="478" t="e" cm="1">
        <f t="array" ref="A45">INDEX('Master Mapping'!O:O, MATCH(TRUE, EXACT(TEXT(LEFT(TRIM(B45), 7), "@"), 'Master Mapping'!A:A), 0))</f>
        <v>#N/A</v>
      </c>
      <c r="B45" s="727" t="s">
        <v>485</v>
      </c>
      <c r="C45" s="741"/>
      <c r="D45" s="741"/>
      <c r="E45" s="741"/>
      <c r="F45" s="741"/>
      <c r="G45" s="742">
        <f t="shared" si="5"/>
        <v>0</v>
      </c>
      <c r="H45" s="730">
        <f t="shared" ref="H45:N45" si="22">(((((((H37)+(H38))+(H39))+(H40))+(H41))+(H42))+(H43))+(H44)</f>
        <v>0</v>
      </c>
      <c r="I45" s="730">
        <f t="shared" si="22"/>
        <v>2212.2199999999998</v>
      </c>
      <c r="J45" s="730">
        <f t="shared" si="22"/>
        <v>0</v>
      </c>
      <c r="K45" s="730">
        <f t="shared" si="22"/>
        <v>0</v>
      </c>
      <c r="L45" s="730">
        <f t="shared" si="22"/>
        <v>0</v>
      </c>
      <c r="M45" s="730">
        <f t="shared" si="22"/>
        <v>0</v>
      </c>
      <c r="N45" s="730">
        <f t="shared" si="22"/>
        <v>0</v>
      </c>
      <c r="O45" s="730">
        <f t="shared" si="14"/>
        <v>2212.2199999999998</v>
      </c>
      <c r="P45" s="730">
        <f t="shared" ref="P45:V45" si="23">(((((((P37)+(P38))+(P39))+(P40))+(P41))+(P42))+(P43))+(P44)</f>
        <v>0</v>
      </c>
      <c r="Q45" s="730">
        <f t="shared" si="23"/>
        <v>0</v>
      </c>
      <c r="R45" s="730">
        <f t="shared" si="23"/>
        <v>0</v>
      </c>
      <c r="S45" s="730">
        <f t="shared" si="23"/>
        <v>0</v>
      </c>
      <c r="T45" s="730">
        <f t="shared" si="23"/>
        <v>0</v>
      </c>
      <c r="U45" s="730">
        <f t="shared" si="23"/>
        <v>0</v>
      </c>
      <c r="V45" s="730">
        <f t="shared" si="23"/>
        <v>0</v>
      </c>
      <c r="W45" s="730">
        <f t="shared" si="15"/>
        <v>0</v>
      </c>
      <c r="X45" s="730">
        <f>(((((((X37)+(X38))+(X39))+(X40))+(X41))+(X42))+(X43))+(X44)</f>
        <v>0</v>
      </c>
      <c r="Y45" s="730">
        <f>(((((((Y37)+(Y38))+(Y39))+(Y40))+(Y41))+(Y42))+(Y43))+(Y44)</f>
        <v>0</v>
      </c>
      <c r="Z45" s="730">
        <f t="shared" si="16"/>
        <v>0</v>
      </c>
      <c r="AA45" s="730">
        <f t="shared" si="17"/>
        <v>2212.2199999999998</v>
      </c>
    </row>
    <row r="46" spans="1:27">
      <c r="A46" s="478" t="e" cm="1">
        <f t="array" ref="A46">INDEX('Master Mapping'!O:O, MATCH(TRUE, EXACT(TEXT(LEFT(TRIM(B46), 7), "@"), 'Master Mapping'!A:A), 0))</f>
        <v>#N/A</v>
      </c>
      <c r="B46" s="727" t="s">
        <v>486</v>
      </c>
      <c r="C46" s="741"/>
      <c r="D46" s="741"/>
      <c r="E46" s="741"/>
      <c r="F46" s="741"/>
      <c r="G46" s="742">
        <f t="shared" si="5"/>
        <v>0</v>
      </c>
      <c r="H46" s="728"/>
      <c r="I46" s="728"/>
      <c r="J46" s="728"/>
      <c r="K46" s="728"/>
      <c r="L46" s="728"/>
      <c r="M46" s="728"/>
      <c r="N46" s="728"/>
      <c r="O46" s="729">
        <f t="shared" si="14"/>
        <v>0</v>
      </c>
      <c r="P46" s="728"/>
      <c r="Q46" s="728"/>
      <c r="R46" s="728"/>
      <c r="S46" s="728"/>
      <c r="T46" s="728"/>
      <c r="U46" s="728"/>
      <c r="V46" s="728"/>
      <c r="W46" s="729">
        <f t="shared" si="15"/>
        <v>0</v>
      </c>
      <c r="X46" s="728"/>
      <c r="Y46" s="728"/>
      <c r="Z46" s="729">
        <f t="shared" si="16"/>
        <v>0</v>
      </c>
      <c r="AA46" s="729">
        <f t="shared" si="17"/>
        <v>0</v>
      </c>
    </row>
    <row r="47" spans="1:27">
      <c r="A47" s="478" cm="1">
        <f t="array" ref="A47">INDEX('Master Mapping'!O:O, MATCH(TRUE, EXACT(TEXT(LEFT(TRIM(B47), 7), "@"), 'Master Mapping'!A:A), 0))</f>
        <v>7</v>
      </c>
      <c r="B47" s="727" t="s">
        <v>487</v>
      </c>
      <c r="C47" s="741"/>
      <c r="D47" s="741"/>
      <c r="E47" s="741"/>
      <c r="F47" s="741"/>
      <c r="G47" s="742">
        <f t="shared" si="5"/>
        <v>0</v>
      </c>
      <c r="H47" s="728"/>
      <c r="I47" s="728"/>
      <c r="J47" s="728"/>
      <c r="K47" s="728"/>
      <c r="L47" s="728"/>
      <c r="M47" s="728"/>
      <c r="N47" s="728"/>
      <c r="O47" s="729">
        <f t="shared" si="14"/>
        <v>0</v>
      </c>
      <c r="P47" s="728"/>
      <c r="Q47" s="728"/>
      <c r="R47" s="728"/>
      <c r="S47" s="728"/>
      <c r="T47" s="728"/>
      <c r="U47" s="728"/>
      <c r="V47" s="728"/>
      <c r="W47" s="729">
        <f t="shared" si="15"/>
        <v>0</v>
      </c>
      <c r="X47" s="728"/>
      <c r="Y47" s="728"/>
      <c r="Z47" s="729">
        <f t="shared" si="16"/>
        <v>0</v>
      </c>
      <c r="AA47" s="729">
        <f t="shared" si="17"/>
        <v>0</v>
      </c>
    </row>
    <row r="48" spans="1:27">
      <c r="A48" s="478" cm="1">
        <f t="array" ref="A48">INDEX('Master Mapping'!O:O, MATCH(TRUE, EXACT(TEXT(LEFT(TRIM(B48), 7), "@"), 'Master Mapping'!A:A), 0))</f>
        <v>8</v>
      </c>
      <c r="B48" s="727" t="s">
        <v>488</v>
      </c>
      <c r="C48" s="741"/>
      <c r="D48" s="741"/>
      <c r="E48" s="741"/>
      <c r="F48" s="741"/>
      <c r="G48" s="742">
        <f t="shared" si="5"/>
        <v>0</v>
      </c>
      <c r="H48" s="728"/>
      <c r="I48" s="728"/>
      <c r="J48" s="728"/>
      <c r="K48" s="728"/>
      <c r="L48" s="728"/>
      <c r="M48" s="728"/>
      <c r="N48" s="728"/>
      <c r="O48" s="729">
        <f t="shared" si="14"/>
        <v>0</v>
      </c>
      <c r="P48" s="728"/>
      <c r="Q48" s="728"/>
      <c r="R48" s="728"/>
      <c r="S48" s="728"/>
      <c r="T48" s="728"/>
      <c r="U48" s="728"/>
      <c r="V48" s="728"/>
      <c r="W48" s="729">
        <f t="shared" si="15"/>
        <v>0</v>
      </c>
      <c r="X48" s="728"/>
      <c r="Y48" s="728"/>
      <c r="Z48" s="729">
        <f t="shared" si="16"/>
        <v>0</v>
      </c>
      <c r="AA48" s="729">
        <f t="shared" si="17"/>
        <v>0</v>
      </c>
    </row>
    <row r="49" spans="1:27">
      <c r="A49" s="478" cm="1">
        <f t="array" ref="A49">INDEX('Master Mapping'!O:O, MATCH(TRUE, EXACT(TEXT(LEFT(TRIM(B49), 7), "@"), 'Master Mapping'!A:A), 0))</f>
        <v>13</v>
      </c>
      <c r="B49" s="727" t="s">
        <v>489</v>
      </c>
      <c r="C49" s="741"/>
      <c r="D49" s="741"/>
      <c r="E49" s="741"/>
      <c r="F49" s="741"/>
      <c r="G49" s="742">
        <f t="shared" si="5"/>
        <v>0</v>
      </c>
      <c r="H49" s="728"/>
      <c r="I49" s="728"/>
      <c r="J49" s="728"/>
      <c r="K49" s="728"/>
      <c r="L49" s="728"/>
      <c r="M49" s="728"/>
      <c r="N49" s="728"/>
      <c r="O49" s="729">
        <f t="shared" si="14"/>
        <v>0</v>
      </c>
      <c r="P49" s="728"/>
      <c r="Q49" s="728"/>
      <c r="R49" s="728"/>
      <c r="S49" s="728"/>
      <c r="T49" s="728"/>
      <c r="U49" s="728"/>
      <c r="V49" s="728"/>
      <c r="W49" s="729">
        <f t="shared" si="15"/>
        <v>0</v>
      </c>
      <c r="X49" s="728"/>
      <c r="Y49" s="728"/>
      <c r="Z49" s="729">
        <f t="shared" si="16"/>
        <v>0</v>
      </c>
      <c r="AA49" s="729">
        <f t="shared" si="17"/>
        <v>0</v>
      </c>
    </row>
    <row r="50" spans="1:27">
      <c r="A50" s="478" cm="1">
        <f t="array" ref="A50">INDEX('Master Mapping'!O:O, MATCH(TRUE, EXACT(TEXT(LEFT(TRIM(B50), 7), "@"), 'Master Mapping'!A:A), 0))</f>
        <v>13</v>
      </c>
      <c r="B50" s="727" t="s">
        <v>490</v>
      </c>
      <c r="C50" s="741"/>
      <c r="D50" s="741"/>
      <c r="E50" s="741"/>
      <c r="F50" s="741"/>
      <c r="G50" s="742">
        <f t="shared" si="5"/>
        <v>0</v>
      </c>
      <c r="H50" s="728"/>
      <c r="I50" s="728"/>
      <c r="J50" s="728"/>
      <c r="K50" s="728"/>
      <c r="L50" s="728"/>
      <c r="M50" s="728"/>
      <c r="N50" s="728"/>
      <c r="O50" s="729">
        <f t="shared" si="14"/>
        <v>0</v>
      </c>
      <c r="P50" s="728"/>
      <c r="Q50" s="728"/>
      <c r="R50" s="728"/>
      <c r="S50" s="728"/>
      <c r="T50" s="728"/>
      <c r="U50" s="728"/>
      <c r="V50" s="728"/>
      <c r="W50" s="729">
        <f t="shared" si="15"/>
        <v>0</v>
      </c>
      <c r="X50" s="728"/>
      <c r="Y50" s="728"/>
      <c r="Z50" s="729">
        <f t="shared" si="16"/>
        <v>0</v>
      </c>
      <c r="AA50" s="729">
        <f t="shared" si="17"/>
        <v>0</v>
      </c>
    </row>
    <row r="51" spans="1:27">
      <c r="A51" s="478" cm="1">
        <f t="array" ref="A51">INDEX('Master Mapping'!O:O, MATCH(TRUE, EXACT(TEXT(LEFT(TRIM(B51), 7), "@"), 'Master Mapping'!A:A), 0))</f>
        <v>14</v>
      </c>
      <c r="B51" s="727" t="s">
        <v>491</v>
      </c>
      <c r="C51" s="741"/>
      <c r="D51" s="741"/>
      <c r="E51" s="741"/>
      <c r="F51" s="741"/>
      <c r="G51" s="742">
        <f t="shared" si="5"/>
        <v>0</v>
      </c>
      <c r="H51" s="728"/>
      <c r="I51" s="728"/>
      <c r="J51" s="728"/>
      <c r="K51" s="728"/>
      <c r="L51" s="728"/>
      <c r="M51" s="728"/>
      <c r="N51" s="728"/>
      <c r="O51" s="729">
        <f t="shared" si="14"/>
        <v>0</v>
      </c>
      <c r="P51" s="728"/>
      <c r="Q51" s="728"/>
      <c r="R51" s="728"/>
      <c r="S51" s="728"/>
      <c r="T51" s="728"/>
      <c r="U51" s="728"/>
      <c r="V51" s="728"/>
      <c r="W51" s="729">
        <f t="shared" si="15"/>
        <v>0</v>
      </c>
      <c r="X51" s="728"/>
      <c r="Y51" s="728"/>
      <c r="Z51" s="729">
        <f t="shared" si="16"/>
        <v>0</v>
      </c>
      <c r="AA51" s="729">
        <f t="shared" si="17"/>
        <v>0</v>
      </c>
    </row>
    <row r="52" spans="1:27">
      <c r="A52" s="478" cm="1">
        <f t="array" ref="A52">INDEX('Master Mapping'!O:O, MATCH(TRUE, EXACT(TEXT(LEFT(TRIM(B52), 7), "@"), 'Master Mapping'!A:A), 0))</f>
        <v>16</v>
      </c>
      <c r="B52" s="727" t="s">
        <v>492</v>
      </c>
      <c r="C52" s="741"/>
      <c r="D52" s="741"/>
      <c r="E52" s="741"/>
      <c r="F52" s="741"/>
      <c r="G52" s="742">
        <f t="shared" si="5"/>
        <v>0</v>
      </c>
      <c r="H52" s="728"/>
      <c r="I52" s="728"/>
      <c r="J52" s="728"/>
      <c r="K52" s="728"/>
      <c r="L52" s="728"/>
      <c r="M52" s="728"/>
      <c r="N52" s="728"/>
      <c r="O52" s="729">
        <f t="shared" si="14"/>
        <v>0</v>
      </c>
      <c r="P52" s="728"/>
      <c r="Q52" s="728"/>
      <c r="R52" s="728"/>
      <c r="S52" s="728"/>
      <c r="T52" s="728"/>
      <c r="U52" s="728"/>
      <c r="V52" s="728"/>
      <c r="W52" s="729">
        <f t="shared" si="15"/>
        <v>0</v>
      </c>
      <c r="X52" s="728"/>
      <c r="Y52" s="728"/>
      <c r="Z52" s="729">
        <f t="shared" si="16"/>
        <v>0</v>
      </c>
      <c r="AA52" s="729">
        <f t="shared" si="17"/>
        <v>0</v>
      </c>
    </row>
    <row r="53" spans="1:27">
      <c r="A53" s="478" cm="1">
        <f t="array" ref="A53">INDEX('Master Mapping'!O:O, MATCH(TRUE, EXACT(TEXT(LEFT(TRIM(B53), 7), "@"), 'Master Mapping'!A:A), 0))</f>
        <v>18</v>
      </c>
      <c r="B53" s="727" t="s">
        <v>493</v>
      </c>
      <c r="C53" s="741"/>
      <c r="D53" s="741"/>
      <c r="E53" s="741"/>
      <c r="F53" s="741"/>
      <c r="G53" s="742">
        <f t="shared" si="5"/>
        <v>0</v>
      </c>
      <c r="H53" s="728"/>
      <c r="I53" s="728"/>
      <c r="J53" s="728"/>
      <c r="K53" s="728"/>
      <c r="L53" s="728"/>
      <c r="M53" s="728"/>
      <c r="N53" s="728"/>
      <c r="O53" s="729">
        <f t="shared" si="14"/>
        <v>0</v>
      </c>
      <c r="P53" s="728"/>
      <c r="Q53" s="728"/>
      <c r="R53" s="728"/>
      <c r="S53" s="728"/>
      <c r="T53" s="728"/>
      <c r="U53" s="728"/>
      <c r="V53" s="728"/>
      <c r="W53" s="729">
        <f t="shared" si="15"/>
        <v>0</v>
      </c>
      <c r="X53" s="728"/>
      <c r="Y53" s="728"/>
      <c r="Z53" s="729">
        <f t="shared" si="16"/>
        <v>0</v>
      </c>
      <c r="AA53" s="729">
        <f t="shared" si="17"/>
        <v>0</v>
      </c>
    </row>
    <row r="54" spans="1:27">
      <c r="A54" s="478" t="e" cm="1">
        <f t="array" ref="A54">INDEX('Master Mapping'!O:O, MATCH(TRUE, EXACT(TEXT(LEFT(TRIM(B54), 7), "@"), 'Master Mapping'!A:A), 0))</f>
        <v>#N/A</v>
      </c>
      <c r="B54" s="727" t="s">
        <v>494</v>
      </c>
      <c r="C54" s="741"/>
      <c r="D54" s="741"/>
      <c r="E54" s="741"/>
      <c r="F54" s="741"/>
      <c r="G54" s="742">
        <f t="shared" si="5"/>
        <v>0</v>
      </c>
      <c r="H54" s="730">
        <f t="shared" ref="H54:N54" si="24">(((((((H46)+(H47))+(H48))+(H49))+(H50))+(H51))+(H52))+(H53)</f>
        <v>0</v>
      </c>
      <c r="I54" s="730">
        <f t="shared" si="24"/>
        <v>0</v>
      </c>
      <c r="J54" s="730">
        <f t="shared" si="24"/>
        <v>0</v>
      </c>
      <c r="K54" s="730">
        <f t="shared" si="24"/>
        <v>0</v>
      </c>
      <c r="L54" s="730">
        <f t="shared" si="24"/>
        <v>0</v>
      </c>
      <c r="M54" s="730">
        <f t="shared" si="24"/>
        <v>0</v>
      </c>
      <c r="N54" s="730">
        <f t="shared" si="24"/>
        <v>0</v>
      </c>
      <c r="O54" s="730">
        <f t="shared" si="14"/>
        <v>0</v>
      </c>
      <c r="P54" s="730">
        <f t="shared" ref="P54:V54" si="25">(((((((P46)+(P47))+(P48))+(P49))+(P50))+(P51))+(P52))+(P53)</f>
        <v>0</v>
      </c>
      <c r="Q54" s="730">
        <f t="shared" si="25"/>
        <v>0</v>
      </c>
      <c r="R54" s="730">
        <f t="shared" si="25"/>
        <v>0</v>
      </c>
      <c r="S54" s="730">
        <f t="shared" si="25"/>
        <v>0</v>
      </c>
      <c r="T54" s="730">
        <f t="shared" si="25"/>
        <v>0</v>
      </c>
      <c r="U54" s="730">
        <f t="shared" si="25"/>
        <v>0</v>
      </c>
      <c r="V54" s="730">
        <f t="shared" si="25"/>
        <v>0</v>
      </c>
      <c r="W54" s="730">
        <f t="shared" si="15"/>
        <v>0</v>
      </c>
      <c r="X54" s="730">
        <f>(((((((X46)+(X47))+(X48))+(X49))+(X50))+(X51))+(X52))+(X53)</f>
        <v>0</v>
      </c>
      <c r="Y54" s="730">
        <f>(((((((Y46)+(Y47))+(Y48))+(Y49))+(Y50))+(Y51))+(Y52))+(Y53)</f>
        <v>0</v>
      </c>
      <c r="Z54" s="730">
        <f t="shared" si="16"/>
        <v>0</v>
      </c>
      <c r="AA54" s="730">
        <f t="shared" si="17"/>
        <v>0</v>
      </c>
    </row>
    <row r="55" spans="1:27">
      <c r="A55" s="478" t="e" cm="1">
        <f t="array" ref="A55">INDEX('Master Mapping'!O:O, MATCH(TRUE, EXACT(TEXT(LEFT(TRIM(B55), 7), "@"), 'Master Mapping'!A:A), 0))</f>
        <v>#N/A</v>
      </c>
      <c r="B55" s="727" t="s">
        <v>515</v>
      </c>
      <c r="C55" s="741"/>
      <c r="D55" s="741"/>
      <c r="E55" s="741"/>
      <c r="F55" s="741"/>
      <c r="G55" s="742">
        <f t="shared" si="5"/>
        <v>0</v>
      </c>
      <c r="H55" s="730">
        <f t="shared" ref="H55:N55" si="26">(((H33)+(H36))+(H45))+(H54)</f>
        <v>0</v>
      </c>
      <c r="I55" s="730">
        <f t="shared" si="26"/>
        <v>6431.01</v>
      </c>
      <c r="J55" s="730">
        <f t="shared" si="26"/>
        <v>0</v>
      </c>
      <c r="K55" s="730">
        <f t="shared" si="26"/>
        <v>0</v>
      </c>
      <c r="L55" s="730">
        <f t="shared" si="26"/>
        <v>0</v>
      </c>
      <c r="M55" s="730">
        <f t="shared" si="26"/>
        <v>0</v>
      </c>
      <c r="N55" s="730">
        <f t="shared" si="26"/>
        <v>0</v>
      </c>
      <c r="O55" s="730">
        <f t="shared" si="14"/>
        <v>6431.01</v>
      </c>
      <c r="P55" s="730">
        <f t="shared" ref="P55:V55" si="27">(((P33)+(P36))+(P45))+(P54)</f>
        <v>0</v>
      </c>
      <c r="Q55" s="730">
        <f t="shared" si="27"/>
        <v>0</v>
      </c>
      <c r="R55" s="730">
        <f t="shared" si="27"/>
        <v>0</v>
      </c>
      <c r="S55" s="730">
        <f t="shared" si="27"/>
        <v>0</v>
      </c>
      <c r="T55" s="730">
        <f t="shared" si="27"/>
        <v>0</v>
      </c>
      <c r="U55" s="730">
        <f t="shared" si="27"/>
        <v>0</v>
      </c>
      <c r="V55" s="730">
        <f t="shared" si="27"/>
        <v>0</v>
      </c>
      <c r="W55" s="730">
        <f t="shared" si="15"/>
        <v>0</v>
      </c>
      <c r="X55" s="730">
        <f>(((X33)+(X36))+(X45))+(X54)</f>
        <v>0</v>
      </c>
      <c r="Y55" s="730">
        <f>(((Y33)+(Y36))+(Y45))+(Y54)</f>
        <v>0</v>
      </c>
      <c r="Z55" s="730">
        <f t="shared" si="16"/>
        <v>0</v>
      </c>
      <c r="AA55" s="730">
        <f t="shared" si="17"/>
        <v>6431.01</v>
      </c>
    </row>
    <row r="56" spans="1:27">
      <c r="A56" s="478" t="e" cm="1">
        <f t="array" ref="A56">INDEX('Master Mapping'!O:O, MATCH(TRUE, EXACT(TEXT(LEFT(TRIM(B56), 7), "@"), 'Master Mapping'!A:A), 0))</f>
        <v>#N/A</v>
      </c>
      <c r="B56" s="727" t="s">
        <v>516</v>
      </c>
      <c r="C56" s="741"/>
      <c r="D56" s="741"/>
      <c r="E56" s="741"/>
      <c r="F56" s="741"/>
      <c r="G56" s="742">
        <f t="shared" si="5"/>
        <v>0</v>
      </c>
      <c r="H56" s="728"/>
      <c r="I56" s="728"/>
      <c r="J56" s="728"/>
      <c r="K56" s="728"/>
      <c r="L56" s="728"/>
      <c r="M56" s="728"/>
      <c r="N56" s="728"/>
      <c r="O56" s="729">
        <f t="shared" si="14"/>
        <v>0</v>
      </c>
      <c r="P56" s="728"/>
      <c r="Q56" s="728"/>
      <c r="R56" s="728"/>
      <c r="S56" s="728"/>
      <c r="T56" s="728"/>
      <c r="U56" s="728"/>
      <c r="V56" s="728"/>
      <c r="W56" s="729">
        <f t="shared" si="15"/>
        <v>0</v>
      </c>
      <c r="X56" s="728"/>
      <c r="Y56" s="728"/>
      <c r="Z56" s="729">
        <f t="shared" si="16"/>
        <v>0</v>
      </c>
      <c r="AA56" s="729">
        <f t="shared" si="17"/>
        <v>0</v>
      </c>
    </row>
    <row r="57" spans="1:27">
      <c r="A57" s="478" cm="1">
        <f t="array" ref="A57">INDEX('Master Mapping'!O:O, MATCH(TRUE, EXACT(TEXT(LEFT(TRIM(B57), 7), "@"), 'Master Mapping'!A:A), 0))</f>
        <v>17</v>
      </c>
      <c r="B57" s="727" t="s">
        <v>522</v>
      </c>
      <c r="C57" s="741"/>
      <c r="D57" s="741"/>
      <c r="E57" s="741"/>
      <c r="F57" s="741"/>
      <c r="G57" s="742">
        <f t="shared" si="5"/>
        <v>0</v>
      </c>
      <c r="H57" s="728"/>
      <c r="I57" s="728"/>
      <c r="J57" s="729">
        <f>9188</f>
        <v>9188</v>
      </c>
      <c r="K57" s="728"/>
      <c r="L57" s="728"/>
      <c r="M57" s="728"/>
      <c r="N57" s="728"/>
      <c r="O57" s="729">
        <f t="shared" si="14"/>
        <v>9188</v>
      </c>
      <c r="P57" s="728"/>
      <c r="Q57" s="728"/>
      <c r="R57" s="728"/>
      <c r="S57" s="728"/>
      <c r="T57" s="728"/>
      <c r="U57" s="728"/>
      <c r="V57" s="728"/>
      <c r="W57" s="729">
        <f t="shared" si="15"/>
        <v>0</v>
      </c>
      <c r="X57" s="728"/>
      <c r="Y57" s="728"/>
      <c r="Z57" s="729">
        <f t="shared" si="16"/>
        <v>0</v>
      </c>
      <c r="AA57" s="729">
        <f t="shared" si="17"/>
        <v>9188</v>
      </c>
    </row>
    <row r="58" spans="1:27">
      <c r="A58" s="478" t="e" cm="1">
        <f t="array" ref="A58">INDEX('Master Mapping'!O:O, MATCH(TRUE, EXACT(TEXT(LEFT(TRIM(B58), 7), "@"), 'Master Mapping'!A:A), 0))</f>
        <v>#N/A</v>
      </c>
      <c r="B58" s="727" t="s">
        <v>530</v>
      </c>
      <c r="C58" s="741"/>
      <c r="D58" s="741"/>
      <c r="E58" s="741"/>
      <c r="F58" s="741"/>
      <c r="G58" s="742">
        <f t="shared" si="5"/>
        <v>0</v>
      </c>
      <c r="H58" s="730">
        <f t="shared" ref="H58:N58" si="28">(H56)+(H57)</f>
        <v>0</v>
      </c>
      <c r="I58" s="730">
        <f t="shared" si="28"/>
        <v>0</v>
      </c>
      <c r="J58" s="730">
        <f t="shared" si="28"/>
        <v>9188</v>
      </c>
      <c r="K58" s="730">
        <f t="shared" si="28"/>
        <v>0</v>
      </c>
      <c r="L58" s="730">
        <f t="shared" si="28"/>
        <v>0</v>
      </c>
      <c r="M58" s="730">
        <f t="shared" si="28"/>
        <v>0</v>
      </c>
      <c r="N58" s="730">
        <f t="shared" si="28"/>
        <v>0</v>
      </c>
      <c r="O58" s="730">
        <f t="shared" si="14"/>
        <v>9188</v>
      </c>
      <c r="P58" s="730">
        <f t="shared" ref="P58:V58" si="29">(P56)+(P57)</f>
        <v>0</v>
      </c>
      <c r="Q58" s="730">
        <f t="shared" si="29"/>
        <v>0</v>
      </c>
      <c r="R58" s="730">
        <f t="shared" si="29"/>
        <v>0</v>
      </c>
      <c r="S58" s="730">
        <f t="shared" si="29"/>
        <v>0</v>
      </c>
      <c r="T58" s="730">
        <f t="shared" si="29"/>
        <v>0</v>
      </c>
      <c r="U58" s="730">
        <f t="shared" si="29"/>
        <v>0</v>
      </c>
      <c r="V58" s="730">
        <f t="shared" si="29"/>
        <v>0</v>
      </c>
      <c r="W58" s="730">
        <f t="shared" si="15"/>
        <v>0</v>
      </c>
      <c r="X58" s="730">
        <f>(X56)+(X57)</f>
        <v>0</v>
      </c>
      <c r="Y58" s="730">
        <f>(Y56)+(Y57)</f>
        <v>0</v>
      </c>
      <c r="Z58" s="730">
        <f t="shared" si="16"/>
        <v>0</v>
      </c>
      <c r="AA58" s="730">
        <f t="shared" si="17"/>
        <v>9188</v>
      </c>
    </row>
    <row r="59" spans="1:27">
      <c r="A59" s="478" t="e" cm="1">
        <f t="array" ref="A59">INDEX('Master Mapping'!O:O, MATCH(TRUE, EXACT(TEXT(LEFT(TRIM(B59), 7), "@"), 'Master Mapping'!A:A), 0))</f>
        <v>#N/A</v>
      </c>
      <c r="B59" s="727" t="s">
        <v>531</v>
      </c>
      <c r="C59" s="741"/>
      <c r="D59" s="741"/>
      <c r="E59" s="741"/>
      <c r="F59" s="741"/>
      <c r="G59" s="742">
        <f t="shared" si="5"/>
        <v>0</v>
      </c>
      <c r="H59" s="728"/>
      <c r="I59" s="728"/>
      <c r="J59" s="728"/>
      <c r="K59" s="728"/>
      <c r="L59" s="728"/>
      <c r="M59" s="728"/>
      <c r="N59" s="728"/>
      <c r="O59" s="729">
        <f t="shared" si="14"/>
        <v>0</v>
      </c>
      <c r="P59" s="728"/>
      <c r="Q59" s="728"/>
      <c r="R59" s="728"/>
      <c r="S59" s="728"/>
      <c r="T59" s="728"/>
      <c r="U59" s="728"/>
      <c r="V59" s="728"/>
      <c r="W59" s="729">
        <f t="shared" si="15"/>
        <v>0</v>
      </c>
      <c r="X59" s="728"/>
      <c r="Y59" s="728"/>
      <c r="Z59" s="729">
        <f t="shared" si="16"/>
        <v>0</v>
      </c>
      <c r="AA59" s="729">
        <f t="shared" si="17"/>
        <v>0</v>
      </c>
    </row>
    <row r="60" spans="1:27">
      <c r="A60" s="478" cm="1">
        <f t="array" ref="A60">INDEX('Master Mapping'!O:O, MATCH(TRUE, EXACT(TEXT(LEFT(TRIM(B60), 7), "@"), 'Master Mapping'!A:A), 0))</f>
        <v>21</v>
      </c>
      <c r="B60" s="727" t="s">
        <v>539</v>
      </c>
      <c r="C60" s="741"/>
      <c r="D60" s="741"/>
      <c r="E60" s="741"/>
      <c r="F60" s="741"/>
      <c r="G60" s="742">
        <f t="shared" si="5"/>
        <v>0</v>
      </c>
      <c r="H60" s="728"/>
      <c r="I60" s="728"/>
      <c r="J60" s="728"/>
      <c r="K60" s="728"/>
      <c r="L60" s="728"/>
      <c r="M60" s="728"/>
      <c r="N60" s="728"/>
      <c r="O60" s="729">
        <f t="shared" si="14"/>
        <v>0</v>
      </c>
      <c r="P60" s="728"/>
      <c r="Q60" s="728"/>
      <c r="R60" s="728"/>
      <c r="S60" s="728"/>
      <c r="T60" s="728"/>
      <c r="U60" s="728"/>
      <c r="V60" s="728"/>
      <c r="W60" s="729">
        <f t="shared" si="15"/>
        <v>0</v>
      </c>
      <c r="X60" s="728"/>
      <c r="Y60" s="729">
        <f>2150.99</f>
        <v>2150.9899999999998</v>
      </c>
      <c r="Z60" s="729">
        <f t="shared" si="16"/>
        <v>2150.9899999999998</v>
      </c>
      <c r="AA60" s="729">
        <f t="shared" si="17"/>
        <v>2150.9899999999998</v>
      </c>
    </row>
    <row r="61" spans="1:27">
      <c r="A61" s="478" t="e" cm="1">
        <f t="array" ref="A61">INDEX('Master Mapping'!O:O, MATCH(TRUE, EXACT(TEXT(LEFT(TRIM(B61), 7), "@"), 'Master Mapping'!A:A), 0))</f>
        <v>#N/A</v>
      </c>
      <c r="B61" s="727" t="s">
        <v>541</v>
      </c>
      <c r="C61" s="741"/>
      <c r="D61" s="741"/>
      <c r="E61" s="741"/>
      <c r="F61" s="741"/>
      <c r="G61" s="742">
        <f t="shared" si="5"/>
        <v>0</v>
      </c>
      <c r="H61" s="730">
        <f t="shared" ref="H61:N61" si="30">(H59)+(H60)</f>
        <v>0</v>
      </c>
      <c r="I61" s="730">
        <f t="shared" si="30"/>
        <v>0</v>
      </c>
      <c r="J61" s="730">
        <f t="shared" si="30"/>
        <v>0</v>
      </c>
      <c r="K61" s="730">
        <f t="shared" si="30"/>
        <v>0</v>
      </c>
      <c r="L61" s="730">
        <f t="shared" si="30"/>
        <v>0</v>
      </c>
      <c r="M61" s="730">
        <f t="shared" si="30"/>
        <v>0</v>
      </c>
      <c r="N61" s="730">
        <f t="shared" si="30"/>
        <v>0</v>
      </c>
      <c r="O61" s="730">
        <f t="shared" si="14"/>
        <v>0</v>
      </c>
      <c r="P61" s="730">
        <f t="shared" ref="P61:V61" si="31">(P59)+(P60)</f>
        <v>0</v>
      </c>
      <c r="Q61" s="730">
        <f t="shared" si="31"/>
        <v>0</v>
      </c>
      <c r="R61" s="730">
        <f t="shared" si="31"/>
        <v>0</v>
      </c>
      <c r="S61" s="730">
        <f t="shared" si="31"/>
        <v>0</v>
      </c>
      <c r="T61" s="730">
        <f t="shared" si="31"/>
        <v>0</v>
      </c>
      <c r="U61" s="730">
        <f t="shared" si="31"/>
        <v>0</v>
      </c>
      <c r="V61" s="730">
        <f t="shared" si="31"/>
        <v>0</v>
      </c>
      <c r="W61" s="730">
        <f t="shared" si="15"/>
        <v>0</v>
      </c>
      <c r="X61" s="730">
        <f>(X59)+(X60)</f>
        <v>0</v>
      </c>
      <c r="Y61" s="730">
        <f>(Y59)+(Y60)</f>
        <v>2150.9899999999998</v>
      </c>
      <c r="Z61" s="730">
        <f t="shared" si="16"/>
        <v>2150.9899999999998</v>
      </c>
      <c r="AA61" s="730">
        <f t="shared" si="17"/>
        <v>2150.9899999999998</v>
      </c>
    </row>
    <row r="62" spans="1:27">
      <c r="A62" s="478" t="e" cm="1">
        <f t="array" ref="A62">INDEX('Master Mapping'!O:O, MATCH(TRUE, EXACT(TEXT(LEFT(TRIM(B62), 7), "@"), 'Master Mapping'!A:A), 0))</f>
        <v>#N/A</v>
      </c>
      <c r="B62" s="727" t="s">
        <v>542</v>
      </c>
      <c r="C62" s="741"/>
      <c r="D62" s="741"/>
      <c r="E62" s="741"/>
      <c r="F62" s="741"/>
      <c r="G62" s="742">
        <f t="shared" si="5"/>
        <v>0</v>
      </c>
      <c r="H62" s="728"/>
      <c r="I62" s="728"/>
      <c r="J62" s="728"/>
      <c r="K62" s="728"/>
      <c r="L62" s="728"/>
      <c r="M62" s="728"/>
      <c r="N62" s="728"/>
      <c r="O62" s="729">
        <f t="shared" si="14"/>
        <v>0</v>
      </c>
      <c r="P62" s="728"/>
      <c r="Q62" s="728"/>
      <c r="R62" s="728"/>
      <c r="S62" s="728"/>
      <c r="T62" s="728"/>
      <c r="U62" s="728"/>
      <c r="V62" s="728"/>
      <c r="W62" s="729">
        <f t="shared" si="15"/>
        <v>0</v>
      </c>
      <c r="X62" s="728"/>
      <c r="Y62" s="728"/>
      <c r="Z62" s="729">
        <f t="shared" si="16"/>
        <v>0</v>
      </c>
      <c r="AA62" s="729">
        <f t="shared" si="17"/>
        <v>0</v>
      </c>
    </row>
    <row r="63" spans="1:27">
      <c r="A63" s="478" cm="1">
        <f t="array" ref="A63">INDEX('Master Mapping'!O:O, MATCH(TRUE, EXACT(TEXT(LEFT(TRIM(B63), 7), "@"), 'Master Mapping'!A:A), 0))</f>
        <v>21</v>
      </c>
      <c r="B63" s="727" t="s">
        <v>547</v>
      </c>
      <c r="C63" s="741"/>
      <c r="D63" s="741"/>
      <c r="E63" s="741"/>
      <c r="F63" s="741"/>
      <c r="G63" s="742">
        <f t="shared" si="5"/>
        <v>0</v>
      </c>
      <c r="H63" s="728"/>
      <c r="I63" s="728"/>
      <c r="J63" s="728"/>
      <c r="K63" s="728"/>
      <c r="L63" s="728"/>
      <c r="M63" s="728"/>
      <c r="N63" s="728"/>
      <c r="O63" s="729">
        <f t="shared" si="14"/>
        <v>0</v>
      </c>
      <c r="P63" s="728"/>
      <c r="Q63" s="728"/>
      <c r="R63" s="728"/>
      <c r="S63" s="728"/>
      <c r="T63" s="728"/>
      <c r="U63" s="728"/>
      <c r="V63" s="728"/>
      <c r="W63" s="729">
        <f t="shared" si="15"/>
        <v>0</v>
      </c>
      <c r="X63" s="728"/>
      <c r="Y63" s="729">
        <f>50139.82</f>
        <v>50139.82</v>
      </c>
      <c r="Z63" s="729">
        <f t="shared" si="16"/>
        <v>50139.82</v>
      </c>
      <c r="AA63" s="729">
        <f t="shared" si="17"/>
        <v>50139.82</v>
      </c>
    </row>
    <row r="64" spans="1:27">
      <c r="A64" s="478" t="e" cm="1">
        <f t="array" ref="A64">INDEX('Master Mapping'!O:O, MATCH(TRUE, EXACT(TEXT(LEFT(TRIM(B64), 7), "@"), 'Master Mapping'!A:A), 0))</f>
        <v>#N/A</v>
      </c>
      <c r="B64" s="727" t="s">
        <v>549</v>
      </c>
      <c r="C64" s="741"/>
      <c r="D64" s="741"/>
      <c r="E64" s="741"/>
      <c r="F64" s="741"/>
      <c r="G64" s="742">
        <f t="shared" si="5"/>
        <v>0</v>
      </c>
      <c r="H64" s="730">
        <f t="shared" ref="H64:N64" si="32">(H62)+(H63)</f>
        <v>0</v>
      </c>
      <c r="I64" s="730">
        <f t="shared" si="32"/>
        <v>0</v>
      </c>
      <c r="J64" s="730">
        <f t="shared" si="32"/>
        <v>0</v>
      </c>
      <c r="K64" s="730">
        <f t="shared" si="32"/>
        <v>0</v>
      </c>
      <c r="L64" s="730">
        <f t="shared" si="32"/>
        <v>0</v>
      </c>
      <c r="M64" s="730">
        <f t="shared" si="32"/>
        <v>0</v>
      </c>
      <c r="N64" s="730">
        <f t="shared" si="32"/>
        <v>0</v>
      </c>
      <c r="O64" s="730">
        <f t="shared" si="14"/>
        <v>0</v>
      </c>
      <c r="P64" s="730">
        <f t="shared" ref="P64:V64" si="33">(P62)+(P63)</f>
        <v>0</v>
      </c>
      <c r="Q64" s="730">
        <f t="shared" si="33"/>
        <v>0</v>
      </c>
      <c r="R64" s="730">
        <f t="shared" si="33"/>
        <v>0</v>
      </c>
      <c r="S64" s="730">
        <f t="shared" si="33"/>
        <v>0</v>
      </c>
      <c r="T64" s="730">
        <f t="shared" si="33"/>
        <v>0</v>
      </c>
      <c r="U64" s="730">
        <f t="shared" si="33"/>
        <v>0</v>
      </c>
      <c r="V64" s="730">
        <f t="shared" si="33"/>
        <v>0</v>
      </c>
      <c r="W64" s="730">
        <f t="shared" si="15"/>
        <v>0</v>
      </c>
      <c r="X64" s="730">
        <f>(X62)+(X63)</f>
        <v>0</v>
      </c>
      <c r="Y64" s="730">
        <f>(Y62)+(Y63)</f>
        <v>50139.82</v>
      </c>
      <c r="Z64" s="730">
        <f t="shared" si="16"/>
        <v>50139.82</v>
      </c>
      <c r="AA64" s="730">
        <f t="shared" si="17"/>
        <v>50139.82</v>
      </c>
    </row>
    <row r="65" spans="1:27">
      <c r="A65" s="478" t="e" cm="1">
        <f t="array" ref="A65">INDEX('Master Mapping'!O:O, MATCH(TRUE, EXACT(TEXT(LEFT(TRIM(B65), 7), "@"), 'Master Mapping'!A:A), 0))</f>
        <v>#N/A</v>
      </c>
      <c r="B65" s="727" t="s">
        <v>274</v>
      </c>
      <c r="C65" s="741"/>
      <c r="D65" s="741"/>
      <c r="E65" s="741"/>
      <c r="F65" s="741"/>
      <c r="G65" s="742">
        <f t="shared" si="5"/>
        <v>0</v>
      </c>
      <c r="H65" s="728"/>
      <c r="I65" s="728"/>
      <c r="J65" s="728"/>
      <c r="K65" s="728"/>
      <c r="L65" s="728"/>
      <c r="M65" s="728"/>
      <c r="N65" s="728"/>
      <c r="O65" s="729">
        <f t="shared" si="14"/>
        <v>0</v>
      </c>
      <c r="P65" s="728"/>
      <c r="Q65" s="728"/>
      <c r="R65" s="728"/>
      <c r="S65" s="728"/>
      <c r="T65" s="728"/>
      <c r="U65" s="728"/>
      <c r="V65" s="728"/>
      <c r="W65" s="729">
        <f t="shared" si="15"/>
        <v>0</v>
      </c>
      <c r="X65" s="728"/>
      <c r="Y65" s="728"/>
      <c r="Z65" s="729">
        <f t="shared" si="16"/>
        <v>0</v>
      </c>
      <c r="AA65" s="729">
        <f t="shared" si="17"/>
        <v>0</v>
      </c>
    </row>
    <row r="66" spans="1:27">
      <c r="A66" s="478" cm="1">
        <f t="array" ref="A66">INDEX('Master Mapping'!O:O, MATCH(TRUE, EXACT(TEXT(LEFT(TRIM(B66), 7), "@"), 'Master Mapping'!A:A), 0))</f>
        <v>7</v>
      </c>
      <c r="B66" s="727" t="s">
        <v>550</v>
      </c>
      <c r="C66" s="741"/>
      <c r="D66" s="741"/>
      <c r="E66" s="741"/>
      <c r="F66" s="741"/>
      <c r="G66" s="742">
        <f t="shared" si="5"/>
        <v>0</v>
      </c>
      <c r="H66" s="728"/>
      <c r="I66" s="728"/>
      <c r="J66" s="728"/>
      <c r="K66" s="728"/>
      <c r="L66" s="728"/>
      <c r="M66" s="728"/>
      <c r="N66" s="728"/>
      <c r="O66" s="729">
        <f t="shared" si="14"/>
        <v>0</v>
      </c>
      <c r="P66" s="728"/>
      <c r="Q66" s="728"/>
      <c r="R66" s="728"/>
      <c r="S66" s="729">
        <f>10853.1</f>
        <v>10853.1</v>
      </c>
      <c r="T66" s="728"/>
      <c r="U66" s="728"/>
      <c r="V66" s="728"/>
      <c r="W66" s="729">
        <f t="shared" si="15"/>
        <v>10853.1</v>
      </c>
      <c r="X66" s="728"/>
      <c r="Y66" s="728"/>
      <c r="Z66" s="729">
        <f t="shared" si="16"/>
        <v>0</v>
      </c>
      <c r="AA66" s="729">
        <f t="shared" si="17"/>
        <v>10853.1</v>
      </c>
    </row>
    <row r="67" spans="1:27">
      <c r="A67" s="478" t="e" cm="1">
        <f t="array" ref="A67">INDEX('Master Mapping'!O:O, MATCH(TRUE, EXACT(TEXT(LEFT(TRIM(B67), 7), "@"), 'Master Mapping'!A:A), 0))</f>
        <v>#N/A</v>
      </c>
      <c r="B67" s="727" t="s">
        <v>275</v>
      </c>
      <c r="C67" s="741"/>
      <c r="D67" s="741"/>
      <c r="E67" s="741"/>
      <c r="F67" s="741"/>
      <c r="G67" s="742">
        <f t="shared" si="5"/>
        <v>0</v>
      </c>
      <c r="H67" s="730">
        <f t="shared" ref="H67:N67" si="34">(H65)+(H66)</f>
        <v>0</v>
      </c>
      <c r="I67" s="730">
        <f t="shared" si="34"/>
        <v>0</v>
      </c>
      <c r="J67" s="730">
        <f t="shared" si="34"/>
        <v>0</v>
      </c>
      <c r="K67" s="730">
        <f t="shared" si="34"/>
        <v>0</v>
      </c>
      <c r="L67" s="730">
        <f t="shared" si="34"/>
        <v>0</v>
      </c>
      <c r="M67" s="730">
        <f t="shared" si="34"/>
        <v>0</v>
      </c>
      <c r="N67" s="730">
        <f t="shared" si="34"/>
        <v>0</v>
      </c>
      <c r="O67" s="730">
        <f t="shared" si="14"/>
        <v>0</v>
      </c>
      <c r="P67" s="730">
        <f t="shared" ref="P67:V67" si="35">(P65)+(P66)</f>
        <v>0</v>
      </c>
      <c r="Q67" s="730">
        <f t="shared" si="35"/>
        <v>0</v>
      </c>
      <c r="R67" s="730">
        <f t="shared" si="35"/>
        <v>0</v>
      </c>
      <c r="S67" s="730">
        <f t="shared" si="35"/>
        <v>10853.1</v>
      </c>
      <c r="T67" s="730">
        <f t="shared" si="35"/>
        <v>0</v>
      </c>
      <c r="U67" s="730">
        <f t="shared" si="35"/>
        <v>0</v>
      </c>
      <c r="V67" s="730">
        <f t="shared" si="35"/>
        <v>0</v>
      </c>
      <c r="W67" s="730">
        <f t="shared" si="15"/>
        <v>10853.1</v>
      </c>
      <c r="X67" s="730">
        <f>(X65)+(X66)</f>
        <v>0</v>
      </c>
      <c r="Y67" s="730">
        <f>(Y65)+(Y66)</f>
        <v>0</v>
      </c>
      <c r="Z67" s="730">
        <f t="shared" si="16"/>
        <v>0</v>
      </c>
      <c r="AA67" s="730">
        <f t="shared" si="17"/>
        <v>10853.1</v>
      </c>
    </row>
    <row r="68" spans="1:27">
      <c r="A68" s="478" t="e" cm="1">
        <f t="array" ref="A68">INDEX('Master Mapping'!O:O, MATCH(TRUE, EXACT(TEXT(LEFT(TRIM(B68), 7), "@"), 'Master Mapping'!A:A), 0))</f>
        <v>#N/A</v>
      </c>
      <c r="B68" s="727" t="s">
        <v>563</v>
      </c>
      <c r="C68" s="741"/>
      <c r="D68" s="741"/>
      <c r="E68" s="741"/>
      <c r="F68" s="741"/>
      <c r="G68" s="742">
        <f t="shared" si="5"/>
        <v>0</v>
      </c>
      <c r="H68" s="728"/>
      <c r="I68" s="728"/>
      <c r="J68" s="728"/>
      <c r="K68" s="728"/>
      <c r="L68" s="728"/>
      <c r="M68" s="728"/>
      <c r="N68" s="728"/>
      <c r="O68" s="729">
        <f t="shared" si="14"/>
        <v>0</v>
      </c>
      <c r="P68" s="728"/>
      <c r="Q68" s="728"/>
      <c r="R68" s="728"/>
      <c r="S68" s="728"/>
      <c r="T68" s="728"/>
      <c r="U68" s="728"/>
      <c r="V68" s="728"/>
      <c r="W68" s="729">
        <f t="shared" si="15"/>
        <v>0</v>
      </c>
      <c r="X68" s="728"/>
      <c r="Y68" s="728"/>
      <c r="Z68" s="729">
        <f t="shared" si="16"/>
        <v>0</v>
      </c>
      <c r="AA68" s="729">
        <f t="shared" si="17"/>
        <v>0</v>
      </c>
    </row>
    <row r="69" spans="1:27">
      <c r="A69" s="478" cm="1">
        <f t="array" ref="A69">INDEX('Master Mapping'!O:O, MATCH(TRUE, EXACT(TEXT(LEFT(TRIM(B69), 7), "@"), 'Master Mapping'!A:A), 0))</f>
        <v>26</v>
      </c>
      <c r="B69" s="727" t="s">
        <v>564</v>
      </c>
      <c r="C69" s="741"/>
      <c r="D69" s="741"/>
      <c r="E69" s="741"/>
      <c r="F69" s="741"/>
      <c r="G69" s="742">
        <f t="shared" si="5"/>
        <v>0</v>
      </c>
      <c r="H69" s="728"/>
      <c r="I69" s="729">
        <f>7331</f>
        <v>7331</v>
      </c>
      <c r="J69" s="728"/>
      <c r="K69" s="728"/>
      <c r="L69" s="728"/>
      <c r="M69" s="728"/>
      <c r="N69" s="728"/>
      <c r="O69" s="729">
        <f t="shared" si="14"/>
        <v>7331</v>
      </c>
      <c r="P69" s="728"/>
      <c r="Q69" s="728"/>
      <c r="R69" s="728"/>
      <c r="S69" s="728"/>
      <c r="T69" s="728"/>
      <c r="U69" s="728"/>
      <c r="V69" s="728"/>
      <c r="W69" s="729">
        <f t="shared" si="15"/>
        <v>0</v>
      </c>
      <c r="X69" s="728"/>
      <c r="Y69" s="728"/>
      <c r="Z69" s="729">
        <f t="shared" si="16"/>
        <v>0</v>
      </c>
      <c r="AA69" s="729">
        <f t="shared" si="17"/>
        <v>7331</v>
      </c>
    </row>
    <row r="70" spans="1:27">
      <c r="A70" s="478" t="e" cm="1">
        <f t="array" ref="A70">INDEX('Master Mapping'!O:O, MATCH(TRUE, EXACT(TEXT(LEFT(TRIM(B70), 7), "@"), 'Master Mapping'!A:A), 0))</f>
        <v>#N/A</v>
      </c>
      <c r="B70" s="727" t="s">
        <v>565</v>
      </c>
      <c r="C70" s="741"/>
      <c r="D70" s="741"/>
      <c r="E70" s="741"/>
      <c r="F70" s="741"/>
      <c r="G70" s="742">
        <f t="shared" si="5"/>
        <v>0</v>
      </c>
      <c r="H70" s="730">
        <f t="shared" ref="H70:N70" si="36">(H68)+(H69)</f>
        <v>0</v>
      </c>
      <c r="I70" s="730">
        <f t="shared" si="36"/>
        <v>7331</v>
      </c>
      <c r="J70" s="730">
        <f t="shared" si="36"/>
        <v>0</v>
      </c>
      <c r="K70" s="730">
        <f t="shared" si="36"/>
        <v>0</v>
      </c>
      <c r="L70" s="730">
        <f t="shared" si="36"/>
        <v>0</v>
      </c>
      <c r="M70" s="730">
        <f t="shared" si="36"/>
        <v>0</v>
      </c>
      <c r="N70" s="730">
        <f t="shared" si="36"/>
        <v>0</v>
      </c>
      <c r="O70" s="730">
        <f t="shared" si="14"/>
        <v>7331</v>
      </c>
      <c r="P70" s="730">
        <f t="shared" ref="P70:V70" si="37">(P68)+(P69)</f>
        <v>0</v>
      </c>
      <c r="Q70" s="730">
        <f t="shared" si="37"/>
        <v>0</v>
      </c>
      <c r="R70" s="730">
        <f t="shared" si="37"/>
        <v>0</v>
      </c>
      <c r="S70" s="730">
        <f t="shared" si="37"/>
        <v>0</v>
      </c>
      <c r="T70" s="730">
        <f t="shared" si="37"/>
        <v>0</v>
      </c>
      <c r="U70" s="730">
        <f t="shared" si="37"/>
        <v>0</v>
      </c>
      <c r="V70" s="730">
        <f t="shared" si="37"/>
        <v>0</v>
      </c>
      <c r="W70" s="730">
        <f t="shared" si="15"/>
        <v>0</v>
      </c>
      <c r="X70" s="730">
        <f>(X68)+(X69)</f>
        <v>0</v>
      </c>
      <c r="Y70" s="730">
        <f>(Y68)+(Y69)</f>
        <v>0</v>
      </c>
      <c r="Z70" s="730">
        <f t="shared" si="16"/>
        <v>0</v>
      </c>
      <c r="AA70" s="730">
        <f t="shared" si="17"/>
        <v>7331</v>
      </c>
    </row>
    <row r="71" spans="1:27">
      <c r="A71" s="478" t="e" cm="1">
        <f t="array" ref="A71">INDEX('Master Mapping'!O:O, MATCH(TRUE, EXACT(TEXT(LEFT(TRIM(B71), 7), "@"), 'Master Mapping'!A:A), 0))</f>
        <v>#N/A</v>
      </c>
      <c r="B71" s="727" t="s">
        <v>566</v>
      </c>
      <c r="C71" s="741"/>
      <c r="D71" s="741"/>
      <c r="E71" s="741"/>
      <c r="F71" s="741"/>
      <c r="G71" s="742">
        <f t="shared" si="5"/>
        <v>0</v>
      </c>
      <c r="H71" s="730">
        <f t="shared" ref="H71:N71" si="38">((((((H32)+(H55))+(H58))+(H61))+(H64))+(H67))+(H70)</f>
        <v>0</v>
      </c>
      <c r="I71" s="730">
        <f t="shared" si="38"/>
        <v>60499</v>
      </c>
      <c r="J71" s="730">
        <f t="shared" si="38"/>
        <v>9188</v>
      </c>
      <c r="K71" s="730">
        <f t="shared" si="38"/>
        <v>0</v>
      </c>
      <c r="L71" s="730">
        <f t="shared" si="38"/>
        <v>0</v>
      </c>
      <c r="M71" s="730">
        <f t="shared" si="38"/>
        <v>21760.27</v>
      </c>
      <c r="N71" s="730">
        <f t="shared" si="38"/>
        <v>565</v>
      </c>
      <c r="O71" s="730">
        <f t="shared" si="14"/>
        <v>92012.27</v>
      </c>
      <c r="P71" s="730">
        <f t="shared" ref="P71:V71" si="39">((((((P32)+(P55))+(P58))+(P61))+(P64))+(P67))+(P70)</f>
        <v>0</v>
      </c>
      <c r="Q71" s="730">
        <f t="shared" si="39"/>
        <v>10175.280000000001</v>
      </c>
      <c r="R71" s="730">
        <f t="shared" si="39"/>
        <v>12274</v>
      </c>
      <c r="S71" s="730">
        <f t="shared" si="39"/>
        <v>10853.1</v>
      </c>
      <c r="T71" s="730">
        <f t="shared" si="39"/>
        <v>59127.509999999995</v>
      </c>
      <c r="U71" s="730">
        <f t="shared" si="39"/>
        <v>11219</v>
      </c>
      <c r="V71" s="730">
        <f t="shared" si="39"/>
        <v>6579.54</v>
      </c>
      <c r="W71" s="730">
        <f t="shared" si="15"/>
        <v>110228.42999999998</v>
      </c>
      <c r="X71" s="730">
        <f>((((((X32)+(X55))+(X58))+(X61))+(X64))+(X67))+(X70)</f>
        <v>0</v>
      </c>
      <c r="Y71" s="730">
        <f>((((((Y32)+(Y55))+(Y58))+(Y61))+(Y64))+(Y67))+(Y70)</f>
        <v>52290.81</v>
      </c>
      <c r="Z71" s="730">
        <f t="shared" si="16"/>
        <v>52290.81</v>
      </c>
      <c r="AA71" s="730">
        <f t="shared" si="17"/>
        <v>254531.50999999998</v>
      </c>
    </row>
    <row r="72" spans="1:27">
      <c r="A72" s="478" t="e" cm="1">
        <f t="array" ref="A72">INDEX('Master Mapping'!O:O, MATCH(TRUE, EXACT(TEXT(LEFT(TRIM(B72), 7), "@"), 'Master Mapping'!A:A), 0))</f>
        <v>#N/A</v>
      </c>
      <c r="B72" s="727" t="s">
        <v>567</v>
      </c>
      <c r="C72" s="741"/>
      <c r="D72" s="741"/>
      <c r="E72" s="741"/>
      <c r="F72" s="741"/>
      <c r="G72" s="742">
        <f t="shared" ref="G72:G73" si="40">(((C72)+(D72))+(E72))+(F72)</f>
        <v>0</v>
      </c>
      <c r="H72" s="730">
        <f t="shared" ref="H72:N72" si="41">(H21)-(H71)</f>
        <v>0</v>
      </c>
      <c r="I72" s="730">
        <f t="shared" si="41"/>
        <v>124028</v>
      </c>
      <c r="J72" s="730">
        <f t="shared" si="41"/>
        <v>285678</v>
      </c>
      <c r="K72" s="730">
        <f t="shared" si="41"/>
        <v>113204</v>
      </c>
      <c r="L72" s="730">
        <f t="shared" si="41"/>
        <v>12106</v>
      </c>
      <c r="M72" s="730">
        <f t="shared" si="41"/>
        <v>-6594.27</v>
      </c>
      <c r="N72" s="730">
        <f t="shared" si="41"/>
        <v>0</v>
      </c>
      <c r="O72" s="730">
        <f t="shared" si="14"/>
        <v>528421.73</v>
      </c>
      <c r="P72" s="730">
        <f t="shared" ref="P72:V72" si="42">(P21)-(P71)</f>
        <v>0</v>
      </c>
      <c r="Q72" s="730">
        <f t="shared" si="42"/>
        <v>-1696.2800000000007</v>
      </c>
      <c r="R72" s="730">
        <f t="shared" si="42"/>
        <v>-2865</v>
      </c>
      <c r="S72" s="730">
        <f t="shared" si="42"/>
        <v>-0.1000000000003638</v>
      </c>
      <c r="T72" s="730">
        <f t="shared" si="42"/>
        <v>-10494.509999999995</v>
      </c>
      <c r="U72" s="730">
        <f t="shared" si="42"/>
        <v>0</v>
      </c>
      <c r="V72" s="730">
        <f t="shared" si="42"/>
        <v>-1875.54</v>
      </c>
      <c r="W72" s="730">
        <f t="shared" si="15"/>
        <v>-16931.429999999997</v>
      </c>
      <c r="X72" s="730">
        <f>(X21)-(X71)</f>
        <v>0</v>
      </c>
      <c r="Y72" s="730">
        <f>(Y21)-(Y71)</f>
        <v>62582.490000000005</v>
      </c>
      <c r="Z72" s="730">
        <f t="shared" si="16"/>
        <v>62582.490000000005</v>
      </c>
      <c r="AA72" s="730">
        <f t="shared" si="17"/>
        <v>574072.79</v>
      </c>
    </row>
    <row r="73" spans="1:27">
      <c r="A73" s="478" t="e" cm="1">
        <f t="array" ref="A73">INDEX('Master Mapping'!O:O, MATCH(TRUE, EXACT(TEXT(LEFT(TRIM(B73), 7), "@"), 'Master Mapping'!A:A), 0))</f>
        <v>#N/A</v>
      </c>
      <c r="B73" s="727" t="s">
        <v>568</v>
      </c>
      <c r="C73" s="741"/>
      <c r="D73" s="741"/>
      <c r="E73" s="741"/>
      <c r="F73" s="741"/>
      <c r="G73" s="742">
        <f t="shared" si="40"/>
        <v>0</v>
      </c>
      <c r="H73" s="730">
        <f t="shared" ref="H73:N73" si="43">(H72)+(0)</f>
        <v>0</v>
      </c>
      <c r="I73" s="730">
        <f t="shared" si="43"/>
        <v>124028</v>
      </c>
      <c r="J73" s="730">
        <f t="shared" si="43"/>
        <v>285678</v>
      </c>
      <c r="K73" s="730">
        <f t="shared" si="43"/>
        <v>113204</v>
      </c>
      <c r="L73" s="730">
        <f t="shared" si="43"/>
        <v>12106</v>
      </c>
      <c r="M73" s="730">
        <f t="shared" si="43"/>
        <v>-6594.27</v>
      </c>
      <c r="N73" s="730">
        <f t="shared" si="43"/>
        <v>0</v>
      </c>
      <c r="O73" s="730">
        <f t="shared" si="14"/>
        <v>528421.73</v>
      </c>
      <c r="P73" s="730">
        <f t="shared" ref="P73:V73" si="44">(P72)+(0)</f>
        <v>0</v>
      </c>
      <c r="Q73" s="730">
        <f t="shared" si="44"/>
        <v>-1696.2800000000007</v>
      </c>
      <c r="R73" s="730">
        <f t="shared" si="44"/>
        <v>-2865</v>
      </c>
      <c r="S73" s="730">
        <f t="shared" si="44"/>
        <v>-0.1000000000003638</v>
      </c>
      <c r="T73" s="730">
        <f t="shared" si="44"/>
        <v>-10494.509999999995</v>
      </c>
      <c r="U73" s="730">
        <f t="shared" si="44"/>
        <v>0</v>
      </c>
      <c r="V73" s="730">
        <f t="shared" si="44"/>
        <v>-1875.54</v>
      </c>
      <c r="W73" s="730">
        <f t="shared" si="15"/>
        <v>-16931.429999999997</v>
      </c>
      <c r="X73" s="730">
        <f>(X72)+(0)</f>
        <v>0</v>
      </c>
      <c r="Y73" s="730">
        <f>(Y72)+(0)</f>
        <v>62582.490000000005</v>
      </c>
      <c r="Z73" s="730">
        <f t="shared" si="16"/>
        <v>62582.490000000005</v>
      </c>
      <c r="AA73" s="730">
        <f t="shared" si="17"/>
        <v>574072.79</v>
      </c>
    </row>
    <row r="74" spans="1:27">
      <c r="B74" s="727"/>
      <c r="C74" s="728"/>
      <c r="D74" s="728"/>
      <c r="E74" s="728"/>
      <c r="F74" s="728"/>
      <c r="G74" s="728"/>
      <c r="H74" s="728"/>
      <c r="I74" s="728"/>
      <c r="J74" s="728"/>
      <c r="K74" s="728"/>
      <c r="L74" s="728"/>
      <c r="M74" s="728"/>
      <c r="N74" s="728"/>
      <c r="O74" s="728"/>
      <c r="P74" s="728"/>
      <c r="Q74" s="728"/>
      <c r="R74" s="728"/>
      <c r="S74" s="728"/>
      <c r="T74" s="728"/>
      <c r="U74" s="728"/>
      <c r="V74" s="728"/>
      <c r="W74" s="728"/>
      <c r="X74" s="728"/>
      <c r="Y74" s="728"/>
      <c r="Z74" s="728"/>
      <c r="AA74" s="728"/>
    </row>
    <row r="77" spans="1:27">
      <c r="B77" s="769" t="s">
        <v>4324</v>
      </c>
      <c r="C77" s="767"/>
      <c r="D77" s="767"/>
      <c r="E77" s="767"/>
      <c r="F77" s="767"/>
      <c r="G77" s="767"/>
      <c r="H77" s="767"/>
      <c r="I77" s="767"/>
      <c r="J77" s="767"/>
      <c r="K77" s="767"/>
      <c r="L77" s="767"/>
      <c r="M77" s="767"/>
      <c r="N77" s="767"/>
      <c r="O77" s="767"/>
      <c r="P77" s="767"/>
      <c r="Q77" s="767"/>
      <c r="R77" s="767"/>
      <c r="S77" s="767"/>
      <c r="T77" s="767"/>
      <c r="U77" s="767"/>
      <c r="V77" s="767"/>
      <c r="W77" s="767"/>
      <c r="X77" s="767"/>
      <c r="Y77" s="767"/>
      <c r="Z77" s="767"/>
      <c r="AA77" s="767"/>
    </row>
  </sheetData>
  <mergeCells count="4">
    <mergeCell ref="B1:AA1"/>
    <mergeCell ref="B2:AA2"/>
    <mergeCell ref="B3:AA3"/>
    <mergeCell ref="B77:AA7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AA8BA-1EDB-4D08-8DD6-A9C3E2F27C17}">
  <dimension ref="A1:T3469"/>
  <sheetViews>
    <sheetView workbookViewId="0">
      <selection sqref="A1:A1048576"/>
    </sheetView>
  </sheetViews>
  <sheetFormatPr defaultRowHeight="15.5"/>
  <sheetData>
    <row r="1" spans="1:20" ht="16" thickBot="1">
      <c r="A1" s="610" t="s">
        <v>740</v>
      </c>
      <c r="B1" s="611"/>
      <c r="C1" s="612"/>
      <c r="D1" s="613"/>
      <c r="E1" s="614">
        <v>-1</v>
      </c>
      <c r="F1" s="615" t="s">
        <v>741</v>
      </c>
      <c r="G1" s="616" t="s">
        <v>742</v>
      </c>
      <c r="H1" s="617" t="s">
        <v>743</v>
      </c>
      <c r="I1" s="618"/>
      <c r="J1" s="619">
        <v>-1</v>
      </c>
      <c r="K1" s="618"/>
      <c r="L1" s="619" t="s">
        <v>744</v>
      </c>
      <c r="M1" s="620" t="s">
        <v>745</v>
      </c>
      <c r="N1" s="619" t="s">
        <v>746</v>
      </c>
      <c r="O1" s="619" t="s">
        <v>747</v>
      </c>
      <c r="P1" s="619" t="s">
        <v>748</v>
      </c>
      <c r="Q1" s="619" t="s">
        <v>749</v>
      </c>
      <c r="R1" s="619" t="s">
        <v>750</v>
      </c>
      <c r="S1" s="621" t="s">
        <v>751</v>
      </c>
      <c r="T1" s="619" t="s">
        <v>752</v>
      </c>
    </row>
    <row r="2" spans="1:20" ht="18.5" thickTop="1">
      <c r="A2" s="622"/>
      <c r="B2" s="623"/>
      <c r="C2" s="624"/>
      <c r="D2" s="793" t="s">
        <v>753</v>
      </c>
      <c r="E2" s="775"/>
      <c r="F2" s="626"/>
      <c r="G2" s="623"/>
      <c r="H2" s="627"/>
      <c r="I2" s="618"/>
      <c r="J2" s="618"/>
      <c r="K2" s="618"/>
      <c r="L2" s="618"/>
      <c r="M2" s="618"/>
      <c r="N2" s="618"/>
      <c r="O2" s="618"/>
      <c r="P2" s="618"/>
      <c r="Q2" s="618"/>
      <c r="R2" s="618"/>
      <c r="S2" s="621"/>
      <c r="T2" s="618"/>
    </row>
    <row r="3" spans="1:20">
      <c r="A3" s="622"/>
      <c r="B3" s="623"/>
      <c r="C3" s="623"/>
      <c r="D3" s="623"/>
      <c r="E3" s="627"/>
      <c r="F3" s="626"/>
      <c r="G3" s="623"/>
      <c r="H3" s="627"/>
      <c r="I3" s="618"/>
      <c r="J3" s="618"/>
      <c r="K3" s="618"/>
      <c r="L3" s="618"/>
      <c r="M3" s="618"/>
      <c r="N3" s="618"/>
      <c r="O3" s="618"/>
      <c r="P3" s="618"/>
      <c r="Q3" s="618"/>
      <c r="R3" s="618"/>
      <c r="S3" s="621"/>
      <c r="T3" s="618"/>
    </row>
    <row r="4" spans="1:20">
      <c r="A4" s="622"/>
      <c r="B4" s="628" t="s">
        <v>754</v>
      </c>
      <c r="C4" s="770" t="s">
        <v>41</v>
      </c>
      <c r="D4" s="771"/>
      <c r="E4" s="775"/>
      <c r="F4" s="626"/>
      <c r="G4" s="623"/>
      <c r="H4" s="627"/>
      <c r="I4" s="618"/>
      <c r="J4" s="618"/>
      <c r="K4" s="618"/>
      <c r="L4" s="618"/>
      <c r="M4" s="618"/>
      <c r="N4" s="618"/>
      <c r="O4" s="618"/>
      <c r="P4" s="618"/>
      <c r="Q4" s="618"/>
      <c r="R4" s="618"/>
      <c r="S4" s="621"/>
      <c r="T4" s="618"/>
    </row>
    <row r="5" spans="1:20">
      <c r="A5" s="622"/>
      <c r="B5" s="628"/>
      <c r="C5" s="629">
        <v>1</v>
      </c>
      <c r="D5" s="774" t="s">
        <v>755</v>
      </c>
      <c r="E5" s="775"/>
      <c r="F5" s="626"/>
      <c r="G5" s="623"/>
      <c r="H5" s="627"/>
      <c r="I5" s="618"/>
      <c r="J5" s="618"/>
      <c r="K5" s="618"/>
      <c r="L5" s="618"/>
      <c r="M5" s="618"/>
      <c r="N5" s="618"/>
      <c r="O5" s="618"/>
      <c r="P5" s="618"/>
      <c r="Q5" s="618"/>
      <c r="R5" s="618"/>
      <c r="S5" s="621"/>
      <c r="T5" s="618"/>
    </row>
    <row r="6" spans="1:20">
      <c r="A6" s="622"/>
      <c r="B6" s="623"/>
      <c r="C6" s="623"/>
      <c r="D6" s="623" t="s">
        <v>756</v>
      </c>
      <c r="E6" s="627" t="s">
        <v>757</v>
      </c>
      <c r="F6" s="626"/>
      <c r="G6" s="623"/>
      <c r="H6" s="627"/>
      <c r="I6" s="618"/>
      <c r="J6" s="618"/>
      <c r="K6" s="618"/>
      <c r="L6" s="618"/>
      <c r="M6" s="618"/>
      <c r="N6" s="618"/>
      <c r="O6" s="618"/>
      <c r="P6" s="618"/>
      <c r="Q6" s="618"/>
      <c r="R6" s="618"/>
      <c r="S6" s="621"/>
      <c r="T6" s="618"/>
    </row>
    <row r="7" spans="1:20">
      <c r="A7" s="630">
        <v>1111000</v>
      </c>
      <c r="B7" s="623"/>
      <c r="C7" s="623"/>
      <c r="D7" s="623"/>
      <c r="E7" s="627" t="s">
        <v>758</v>
      </c>
      <c r="F7" s="631" t="s">
        <v>759</v>
      </c>
      <c r="G7" s="632"/>
      <c r="H7" s="633">
        <v>1111</v>
      </c>
      <c r="I7" s="618"/>
      <c r="J7" s="619" t="s">
        <v>758</v>
      </c>
      <c r="K7" s="618"/>
      <c r="L7" s="619">
        <v>8</v>
      </c>
      <c r="M7" s="620">
        <v>9</v>
      </c>
      <c r="N7" s="619"/>
      <c r="O7" s="619">
        <v>1</v>
      </c>
      <c r="P7" s="619" t="s">
        <v>760</v>
      </c>
      <c r="Q7" s="618"/>
      <c r="R7" s="618"/>
      <c r="S7" s="621"/>
      <c r="T7" s="618"/>
    </row>
    <row r="8" spans="1:20">
      <c r="A8" s="630">
        <v>1112000</v>
      </c>
      <c r="B8" s="623"/>
      <c r="C8" s="623"/>
      <c r="D8" s="623"/>
      <c r="E8" s="627" t="s">
        <v>761</v>
      </c>
      <c r="F8" s="631" t="s">
        <v>762</v>
      </c>
      <c r="G8" s="632"/>
      <c r="H8" s="633">
        <v>1112</v>
      </c>
      <c r="I8" s="618"/>
      <c r="J8" s="619" t="s">
        <v>761</v>
      </c>
      <c r="K8" s="618"/>
      <c r="L8" s="619">
        <v>8</v>
      </c>
      <c r="M8" s="620">
        <v>9</v>
      </c>
      <c r="N8" s="619"/>
      <c r="O8" s="619">
        <v>1</v>
      </c>
      <c r="P8" s="619" t="s">
        <v>760</v>
      </c>
      <c r="Q8" s="618"/>
      <c r="R8" s="618"/>
      <c r="S8" s="621"/>
      <c r="T8" s="618"/>
    </row>
    <row r="9" spans="1:20">
      <c r="A9" s="630">
        <v>1113000</v>
      </c>
      <c r="B9" s="623"/>
      <c r="C9" s="623"/>
      <c r="D9" s="623"/>
      <c r="E9" s="627" t="s">
        <v>763</v>
      </c>
      <c r="F9" s="631" t="s">
        <v>764</v>
      </c>
      <c r="G9" s="632"/>
      <c r="H9" s="633">
        <v>1113</v>
      </c>
      <c r="I9" s="618"/>
      <c r="J9" s="619" t="s">
        <v>763</v>
      </c>
      <c r="K9" s="618"/>
      <c r="L9" s="619">
        <v>8</v>
      </c>
      <c r="M9" s="620">
        <v>9</v>
      </c>
      <c r="N9" s="619"/>
      <c r="O9" s="619">
        <v>1</v>
      </c>
      <c r="P9" s="619" t="s">
        <v>760</v>
      </c>
      <c r="Q9" s="618"/>
      <c r="R9" s="618"/>
      <c r="S9" s="621"/>
      <c r="T9" s="618"/>
    </row>
    <row r="10" spans="1:20">
      <c r="A10" s="622"/>
      <c r="B10" s="623"/>
      <c r="C10" s="623"/>
      <c r="D10" s="623"/>
      <c r="E10" s="627" t="s">
        <v>765</v>
      </c>
      <c r="F10" s="626"/>
      <c r="G10" s="623"/>
      <c r="H10" s="627"/>
      <c r="I10" s="618"/>
      <c r="J10" s="618"/>
      <c r="K10" s="618"/>
      <c r="L10" s="618"/>
      <c r="M10" s="618"/>
      <c r="N10" s="618"/>
      <c r="O10" s="618"/>
      <c r="P10" s="618"/>
      <c r="Q10" s="618"/>
      <c r="R10" s="618"/>
      <c r="S10" s="621"/>
      <c r="T10" s="618"/>
    </row>
    <row r="11" spans="1:20">
      <c r="A11" s="630">
        <v>1114000</v>
      </c>
      <c r="B11" s="623"/>
      <c r="C11" s="623"/>
      <c r="D11" s="623"/>
      <c r="E11" s="627" t="s">
        <v>766</v>
      </c>
      <c r="F11" s="631" t="s">
        <v>767</v>
      </c>
      <c r="G11" s="632"/>
      <c r="H11" s="633">
        <v>1114</v>
      </c>
      <c r="I11" s="618"/>
      <c r="J11" s="619" t="s">
        <v>766</v>
      </c>
      <c r="K11" s="618"/>
      <c r="L11" s="619">
        <v>8</v>
      </c>
      <c r="M11" s="620">
        <v>9</v>
      </c>
      <c r="N11" s="619"/>
      <c r="O11" s="619">
        <v>1</v>
      </c>
      <c r="P11" s="619" t="s">
        <v>760</v>
      </c>
      <c r="Q11" s="618"/>
      <c r="R11" s="618"/>
      <c r="S11" s="621"/>
      <c r="T11" s="618"/>
    </row>
    <row r="12" spans="1:20">
      <c r="A12" s="630">
        <v>1115000</v>
      </c>
      <c r="B12" s="623"/>
      <c r="C12" s="623"/>
      <c r="D12" s="623"/>
      <c r="E12" s="627" t="s">
        <v>768</v>
      </c>
      <c r="F12" s="631" t="s">
        <v>769</v>
      </c>
      <c r="G12" s="632"/>
      <c r="H12" s="633">
        <v>1115</v>
      </c>
      <c r="I12" s="618"/>
      <c r="J12" s="619" t="s">
        <v>768</v>
      </c>
      <c r="K12" s="618"/>
      <c r="L12" s="619">
        <v>8</v>
      </c>
      <c r="M12" s="620">
        <v>9</v>
      </c>
      <c r="N12" s="619"/>
      <c r="O12" s="619">
        <v>1</v>
      </c>
      <c r="P12" s="619" t="s">
        <v>760</v>
      </c>
      <c r="Q12" s="618"/>
      <c r="R12" s="618"/>
      <c r="S12" s="621"/>
      <c r="T12" s="618"/>
    </row>
    <row r="13" spans="1:20">
      <c r="A13" s="630">
        <v>1116000</v>
      </c>
      <c r="B13" s="623"/>
      <c r="C13" s="623"/>
      <c r="D13" s="623"/>
      <c r="E13" s="627" t="s">
        <v>770</v>
      </c>
      <c r="F13" s="631" t="s">
        <v>771</v>
      </c>
      <c r="G13" s="632"/>
      <c r="H13" s="633">
        <v>1116</v>
      </c>
      <c r="I13" s="618"/>
      <c r="J13" s="619" t="s">
        <v>770</v>
      </c>
      <c r="K13" s="618"/>
      <c r="L13" s="619">
        <v>8</v>
      </c>
      <c r="M13" s="620">
        <v>9</v>
      </c>
      <c r="N13" s="619"/>
      <c r="O13" s="619">
        <v>1</v>
      </c>
      <c r="P13" s="619" t="s">
        <v>760</v>
      </c>
      <c r="Q13" s="618"/>
      <c r="R13" s="618"/>
      <c r="S13" s="621"/>
      <c r="T13" s="618"/>
    </row>
    <row r="14" spans="1:20">
      <c r="A14" s="622"/>
      <c r="B14" s="623"/>
      <c r="C14" s="623"/>
      <c r="D14" s="623"/>
      <c r="E14" s="627" t="s">
        <v>772</v>
      </c>
      <c r="F14" s="626"/>
      <c r="G14" s="623"/>
      <c r="H14" s="627"/>
      <c r="I14" s="618"/>
      <c r="J14" s="618"/>
      <c r="K14" s="618"/>
      <c r="L14" s="618"/>
      <c r="M14" s="618"/>
      <c r="N14" s="618"/>
      <c r="O14" s="618"/>
      <c r="P14" s="618"/>
      <c r="Q14" s="618"/>
      <c r="R14" s="618"/>
      <c r="S14" s="621"/>
      <c r="T14" s="618"/>
    </row>
    <row r="15" spans="1:20">
      <c r="A15" s="630">
        <v>1117000</v>
      </c>
      <c r="B15" s="623"/>
      <c r="C15" s="623"/>
      <c r="D15" s="623"/>
      <c r="E15" s="627" t="s">
        <v>773</v>
      </c>
      <c r="F15" s="631" t="s">
        <v>774</v>
      </c>
      <c r="G15" s="632"/>
      <c r="H15" s="633">
        <v>1117</v>
      </c>
      <c r="I15" s="618"/>
      <c r="J15" s="619" t="s">
        <v>773</v>
      </c>
      <c r="K15" s="618"/>
      <c r="L15" s="619">
        <v>8</v>
      </c>
      <c r="M15" s="620">
        <v>9</v>
      </c>
      <c r="N15" s="619"/>
      <c r="O15" s="619">
        <v>1</v>
      </c>
      <c r="P15" s="619" t="s">
        <v>760</v>
      </c>
      <c r="Q15" s="618"/>
      <c r="R15" s="618"/>
      <c r="S15" s="621"/>
      <c r="T15" s="618"/>
    </row>
    <row r="16" spans="1:20">
      <c r="A16" s="622"/>
      <c r="B16" s="623"/>
      <c r="C16" s="623"/>
      <c r="D16" s="623" t="s">
        <v>775</v>
      </c>
      <c r="E16" s="627" t="s">
        <v>776</v>
      </c>
      <c r="F16" s="626"/>
      <c r="G16" s="623"/>
      <c r="H16" s="627"/>
      <c r="I16" s="618"/>
      <c r="J16" s="618"/>
      <c r="K16" s="618"/>
      <c r="L16" s="618"/>
      <c r="M16" s="618"/>
      <c r="N16" s="618"/>
      <c r="O16" s="618"/>
      <c r="P16" s="618"/>
      <c r="Q16" s="618"/>
      <c r="R16" s="618"/>
      <c r="S16" s="621"/>
      <c r="T16" s="618"/>
    </row>
    <row r="17" spans="1:19">
      <c r="A17" s="630">
        <v>1131000</v>
      </c>
      <c r="B17" s="623"/>
      <c r="C17" s="623"/>
      <c r="D17" s="623"/>
      <c r="E17" s="627" t="s">
        <v>777</v>
      </c>
      <c r="F17" s="634" t="s">
        <v>778</v>
      </c>
      <c r="G17" s="623"/>
      <c r="H17" s="635">
        <v>1131</v>
      </c>
      <c r="I17" s="618"/>
      <c r="J17" s="619" t="s">
        <v>777</v>
      </c>
      <c r="K17" s="618"/>
      <c r="L17" s="619">
        <v>8</v>
      </c>
      <c r="M17" s="620">
        <v>9</v>
      </c>
      <c r="N17" s="619"/>
      <c r="O17" s="619">
        <v>1</v>
      </c>
      <c r="P17" s="619" t="s">
        <v>760</v>
      </c>
      <c r="Q17" s="618"/>
      <c r="R17" s="618"/>
      <c r="S17" s="621"/>
    </row>
    <row r="18" spans="1:19">
      <c r="A18" s="630">
        <v>1135000</v>
      </c>
      <c r="B18" s="623"/>
      <c r="C18" s="623"/>
      <c r="D18" s="623"/>
      <c r="E18" s="627" t="s">
        <v>779</v>
      </c>
      <c r="F18" s="634" t="s">
        <v>780</v>
      </c>
      <c r="G18" s="623"/>
      <c r="H18" s="635">
        <v>1135</v>
      </c>
      <c r="I18" s="618"/>
      <c r="J18" s="619" t="s">
        <v>779</v>
      </c>
      <c r="K18" s="618"/>
      <c r="L18" s="619">
        <v>8</v>
      </c>
      <c r="M18" s="620">
        <v>9</v>
      </c>
      <c r="N18" s="619"/>
      <c r="O18" s="619">
        <v>1</v>
      </c>
      <c r="P18" s="619" t="s">
        <v>760</v>
      </c>
      <c r="Q18" s="618"/>
      <c r="R18" s="618"/>
      <c r="S18" s="621"/>
    </row>
    <row r="19" spans="1:19">
      <c r="A19" s="630">
        <v>1136000</v>
      </c>
      <c r="B19" s="623"/>
      <c r="C19" s="623"/>
      <c r="D19" s="623"/>
      <c r="E19" s="627" t="s">
        <v>781</v>
      </c>
      <c r="F19" s="634" t="s">
        <v>782</v>
      </c>
      <c r="G19" s="623"/>
      <c r="H19" s="635">
        <v>1136</v>
      </c>
      <c r="I19" s="618"/>
      <c r="J19" s="619" t="s">
        <v>781</v>
      </c>
      <c r="K19" s="618"/>
      <c r="L19" s="619">
        <v>8</v>
      </c>
      <c r="M19" s="620">
        <v>9</v>
      </c>
      <c r="N19" s="619"/>
      <c r="O19" s="619">
        <v>1</v>
      </c>
      <c r="P19" s="619" t="s">
        <v>760</v>
      </c>
      <c r="Q19" s="618"/>
      <c r="R19" s="618"/>
      <c r="S19" s="621"/>
    </row>
    <row r="20" spans="1:19">
      <c r="A20" s="622"/>
      <c r="B20" s="623"/>
      <c r="C20" s="623"/>
      <c r="D20" s="623"/>
      <c r="E20" s="627" t="s">
        <v>783</v>
      </c>
      <c r="F20" s="626"/>
      <c r="G20" s="623"/>
      <c r="H20" s="627"/>
      <c r="I20" s="618"/>
      <c r="J20" s="618"/>
      <c r="K20" s="618"/>
      <c r="L20" s="618"/>
      <c r="M20" s="618"/>
      <c r="N20" s="618"/>
      <c r="O20" s="618"/>
      <c r="P20" s="618"/>
      <c r="Q20" s="618"/>
      <c r="R20" s="618"/>
      <c r="S20" s="621"/>
    </row>
    <row r="21" spans="1:19">
      <c r="A21" s="630">
        <v>1137000</v>
      </c>
      <c r="B21" s="623"/>
      <c r="C21" s="623"/>
      <c r="D21" s="623"/>
      <c r="E21" s="627" t="s">
        <v>773</v>
      </c>
      <c r="F21" s="634" t="s">
        <v>784</v>
      </c>
      <c r="G21" s="623"/>
      <c r="H21" s="635">
        <v>1137</v>
      </c>
      <c r="I21" s="618"/>
      <c r="J21" s="619" t="s">
        <v>773</v>
      </c>
      <c r="K21" s="618"/>
      <c r="L21" s="619">
        <v>8</v>
      </c>
      <c r="M21" s="620">
        <v>9</v>
      </c>
      <c r="N21" s="619"/>
      <c r="O21" s="619">
        <v>1</v>
      </c>
      <c r="P21" s="619" t="s">
        <v>760</v>
      </c>
      <c r="Q21" s="618"/>
      <c r="R21" s="618"/>
      <c r="S21" s="621"/>
    </row>
    <row r="22" spans="1:19">
      <c r="A22" s="622"/>
      <c r="B22" s="623"/>
      <c r="C22" s="629">
        <v>2</v>
      </c>
      <c r="D22" s="774" t="s">
        <v>785</v>
      </c>
      <c r="E22" s="775"/>
      <c r="F22" s="626"/>
      <c r="G22" s="623"/>
      <c r="H22" s="627"/>
      <c r="I22" s="618"/>
      <c r="J22" s="618"/>
      <c r="K22" s="618"/>
      <c r="L22" s="618"/>
      <c r="M22" s="618"/>
      <c r="N22" s="618"/>
      <c r="O22" s="618"/>
      <c r="P22" s="618"/>
      <c r="Q22" s="618"/>
      <c r="R22" s="618"/>
      <c r="S22" s="621"/>
    </row>
    <row r="23" spans="1:19">
      <c r="A23" s="630">
        <v>1200000</v>
      </c>
      <c r="B23" s="623"/>
      <c r="C23" s="623"/>
      <c r="D23" s="774" t="s">
        <v>786</v>
      </c>
      <c r="E23" s="775"/>
      <c r="F23" s="631" t="s">
        <v>787</v>
      </c>
      <c r="G23" s="632"/>
      <c r="H23" s="633">
        <v>1200</v>
      </c>
      <c r="I23" s="618"/>
      <c r="J23" s="619" t="s">
        <v>786</v>
      </c>
      <c r="K23" s="618"/>
      <c r="L23" s="619">
        <v>8</v>
      </c>
      <c r="M23" s="620">
        <v>9</v>
      </c>
      <c r="N23" s="619"/>
      <c r="O23" s="619">
        <v>1</v>
      </c>
      <c r="P23" s="619" t="s">
        <v>760</v>
      </c>
      <c r="Q23" s="618"/>
      <c r="R23" s="618"/>
      <c r="S23" s="621"/>
    </row>
    <row r="24" spans="1:19">
      <c r="A24" s="622"/>
      <c r="B24" s="623"/>
      <c r="C24" s="629">
        <v>3</v>
      </c>
      <c r="D24" s="774" t="s">
        <v>788</v>
      </c>
      <c r="E24" s="775"/>
      <c r="F24" s="626"/>
      <c r="G24" s="623"/>
      <c r="H24" s="627"/>
      <c r="I24" s="618"/>
      <c r="J24" s="618"/>
      <c r="K24" s="618"/>
      <c r="L24" s="618"/>
      <c r="M24" s="618"/>
      <c r="N24" s="618"/>
      <c r="O24" s="618"/>
      <c r="P24" s="618"/>
      <c r="Q24" s="618"/>
      <c r="R24" s="618"/>
      <c r="S24" s="621"/>
    </row>
    <row r="25" spans="1:19">
      <c r="A25" s="622"/>
      <c r="B25" s="623"/>
      <c r="C25" s="623"/>
      <c r="D25" s="623" t="s">
        <v>756</v>
      </c>
      <c r="E25" s="627" t="s">
        <v>789</v>
      </c>
      <c r="F25" s="626"/>
      <c r="G25" s="623"/>
      <c r="H25" s="627"/>
      <c r="I25" s="618"/>
      <c r="J25" s="618"/>
      <c r="K25" s="618"/>
      <c r="L25" s="618"/>
      <c r="M25" s="618"/>
      <c r="N25" s="618"/>
      <c r="O25" s="618"/>
      <c r="P25" s="618"/>
      <c r="Q25" s="618"/>
      <c r="R25" s="618"/>
      <c r="S25" s="621"/>
    </row>
    <row r="26" spans="1:19">
      <c r="A26" s="630">
        <v>1311000</v>
      </c>
      <c r="B26" s="623"/>
      <c r="C26" s="623"/>
      <c r="D26" s="623"/>
      <c r="E26" s="627" t="s">
        <v>790</v>
      </c>
      <c r="F26" s="631" t="s">
        <v>791</v>
      </c>
      <c r="G26" s="632"/>
      <c r="H26" s="633">
        <v>1311</v>
      </c>
      <c r="I26" s="618"/>
      <c r="J26" s="619" t="s">
        <v>790</v>
      </c>
      <c r="K26" s="618"/>
      <c r="L26" s="619">
        <v>8</v>
      </c>
      <c r="M26" s="620">
        <v>9</v>
      </c>
      <c r="N26" s="619"/>
      <c r="O26" s="619">
        <v>1</v>
      </c>
      <c r="P26" s="619" t="s">
        <v>760</v>
      </c>
      <c r="Q26" s="618"/>
      <c r="R26" s="618"/>
      <c r="S26" s="621"/>
    </row>
    <row r="27" spans="1:19">
      <c r="A27" s="630">
        <v>1312000</v>
      </c>
      <c r="B27" s="623"/>
      <c r="C27" s="623"/>
      <c r="D27" s="623"/>
      <c r="E27" s="627" t="s">
        <v>792</v>
      </c>
      <c r="F27" s="631" t="s">
        <v>793</v>
      </c>
      <c r="G27" s="632"/>
      <c r="H27" s="633">
        <v>1312</v>
      </c>
      <c r="I27" s="618"/>
      <c r="J27" s="619" t="s">
        <v>792</v>
      </c>
      <c r="K27" s="618"/>
      <c r="L27" s="619">
        <v>8</v>
      </c>
      <c r="M27" s="620">
        <v>9</v>
      </c>
      <c r="N27" s="619"/>
      <c r="O27" s="619">
        <v>1</v>
      </c>
      <c r="P27" s="619" t="s">
        <v>760</v>
      </c>
      <c r="Q27" s="618"/>
      <c r="R27" s="618"/>
      <c r="S27" s="621"/>
    </row>
    <row r="28" spans="1:19">
      <c r="A28" s="622"/>
      <c r="B28" s="623"/>
      <c r="C28" s="623"/>
      <c r="D28" s="623" t="s">
        <v>775</v>
      </c>
      <c r="E28" s="627" t="s">
        <v>794</v>
      </c>
      <c r="F28" s="626"/>
      <c r="G28" s="623"/>
      <c r="H28" s="627"/>
      <c r="I28" s="618"/>
      <c r="J28" s="618"/>
      <c r="K28" s="618"/>
      <c r="L28" s="618"/>
      <c r="M28" s="618"/>
      <c r="N28" s="618"/>
      <c r="O28" s="618"/>
      <c r="P28" s="618"/>
      <c r="Q28" s="618"/>
      <c r="R28" s="618"/>
      <c r="S28" s="621"/>
    </row>
    <row r="29" spans="1:19">
      <c r="A29" s="630">
        <v>1320000</v>
      </c>
      <c r="B29" s="623"/>
      <c r="C29" s="623"/>
      <c r="D29" s="623"/>
      <c r="E29" s="627" t="s">
        <v>795</v>
      </c>
      <c r="F29" s="631" t="s">
        <v>796</v>
      </c>
      <c r="G29" s="632"/>
      <c r="H29" s="633">
        <v>1320</v>
      </c>
      <c r="I29" s="618"/>
      <c r="J29" s="619" t="s">
        <v>795</v>
      </c>
      <c r="K29" s="618"/>
      <c r="L29" s="619">
        <v>8</v>
      </c>
      <c r="M29" s="620">
        <v>9</v>
      </c>
      <c r="N29" s="619"/>
      <c r="O29" s="619">
        <v>1</v>
      </c>
      <c r="P29" s="619" t="s">
        <v>760</v>
      </c>
      <c r="Q29" s="618"/>
      <c r="R29" s="618"/>
      <c r="S29" s="621"/>
    </row>
    <row r="30" spans="1:19">
      <c r="A30" s="630">
        <v>1321000</v>
      </c>
      <c r="B30" s="623"/>
      <c r="C30" s="623"/>
      <c r="D30" s="623"/>
      <c r="E30" s="627" t="s">
        <v>797</v>
      </c>
      <c r="F30" s="631" t="s">
        <v>798</v>
      </c>
      <c r="G30" s="632"/>
      <c r="H30" s="633">
        <v>1321</v>
      </c>
      <c r="I30" s="618"/>
      <c r="J30" s="619" t="s">
        <v>797</v>
      </c>
      <c r="K30" s="618"/>
      <c r="L30" s="619">
        <v>8</v>
      </c>
      <c r="M30" s="620">
        <v>9</v>
      </c>
      <c r="N30" s="619"/>
      <c r="O30" s="619">
        <v>1</v>
      </c>
      <c r="P30" s="619" t="s">
        <v>760</v>
      </c>
      <c r="Q30" s="618"/>
      <c r="R30" s="618"/>
      <c r="S30" s="621"/>
    </row>
    <row r="31" spans="1:19">
      <c r="A31" s="622"/>
      <c r="B31" s="623"/>
      <c r="C31" s="623"/>
      <c r="D31" s="623" t="s">
        <v>799</v>
      </c>
      <c r="E31" s="627" t="s">
        <v>800</v>
      </c>
      <c r="F31" s="626"/>
      <c r="G31" s="623"/>
      <c r="H31" s="627"/>
      <c r="I31" s="618"/>
      <c r="J31" s="618"/>
      <c r="K31" s="618"/>
      <c r="L31" s="618"/>
      <c r="M31" s="618"/>
      <c r="N31" s="618"/>
      <c r="O31" s="618"/>
      <c r="P31" s="618"/>
      <c r="Q31" s="618"/>
      <c r="R31" s="618"/>
      <c r="S31" s="621"/>
    </row>
    <row r="32" spans="1:19">
      <c r="A32" s="630">
        <v>1330000</v>
      </c>
      <c r="B32" s="623"/>
      <c r="C32" s="623"/>
      <c r="D32" s="623"/>
      <c r="E32" s="627" t="s">
        <v>795</v>
      </c>
      <c r="F32" s="631" t="s">
        <v>801</v>
      </c>
      <c r="G32" s="632"/>
      <c r="H32" s="633">
        <v>1330</v>
      </c>
      <c r="I32" s="618"/>
      <c r="J32" s="619" t="s">
        <v>795</v>
      </c>
      <c r="K32" s="618"/>
      <c r="L32" s="619">
        <v>8</v>
      </c>
      <c r="M32" s="620">
        <v>9</v>
      </c>
      <c r="N32" s="619"/>
      <c r="O32" s="619">
        <v>1</v>
      </c>
      <c r="P32" s="619" t="s">
        <v>760</v>
      </c>
      <c r="Q32" s="618"/>
      <c r="R32" s="618"/>
      <c r="S32" s="621"/>
    </row>
    <row r="33" spans="1:19">
      <c r="A33" s="630">
        <v>1331000</v>
      </c>
      <c r="B33" s="623"/>
      <c r="C33" s="623"/>
      <c r="D33" s="623"/>
      <c r="E33" s="627" t="s">
        <v>797</v>
      </c>
      <c r="F33" s="631" t="s">
        <v>802</v>
      </c>
      <c r="G33" s="632"/>
      <c r="H33" s="633">
        <v>1331</v>
      </c>
      <c r="I33" s="618"/>
      <c r="J33" s="619" t="s">
        <v>797</v>
      </c>
      <c r="K33" s="618"/>
      <c r="L33" s="619">
        <v>8</v>
      </c>
      <c r="M33" s="620">
        <v>9</v>
      </c>
      <c r="N33" s="619"/>
      <c r="O33" s="619">
        <v>1</v>
      </c>
      <c r="P33" s="619" t="s">
        <v>760</v>
      </c>
      <c r="Q33" s="618"/>
      <c r="R33" s="618"/>
      <c r="S33" s="621"/>
    </row>
    <row r="34" spans="1:19">
      <c r="A34" s="630">
        <v>1390000</v>
      </c>
      <c r="B34" s="623"/>
      <c r="C34" s="623"/>
      <c r="D34" s="623" t="s">
        <v>803</v>
      </c>
      <c r="E34" s="627" t="s">
        <v>804</v>
      </c>
      <c r="F34" s="631" t="s">
        <v>805</v>
      </c>
      <c r="G34" s="632"/>
      <c r="H34" s="633">
        <v>1390</v>
      </c>
      <c r="I34" s="618"/>
      <c r="J34" s="619" t="s">
        <v>804</v>
      </c>
      <c r="K34" s="618"/>
      <c r="L34" s="619">
        <v>8</v>
      </c>
      <c r="M34" s="620">
        <v>9</v>
      </c>
      <c r="N34" s="619"/>
      <c r="O34" s="619">
        <v>1</v>
      </c>
      <c r="P34" s="619" t="s">
        <v>760</v>
      </c>
      <c r="Q34" s="618"/>
      <c r="R34" s="618"/>
      <c r="S34" s="621"/>
    </row>
    <row r="35" spans="1:19">
      <c r="A35" s="622"/>
      <c r="B35" s="623"/>
      <c r="C35" s="629">
        <v>4</v>
      </c>
      <c r="D35" s="774" t="s">
        <v>806</v>
      </c>
      <c r="E35" s="775"/>
      <c r="F35" s="626"/>
      <c r="G35" s="623"/>
      <c r="H35" s="627"/>
      <c r="I35" s="618"/>
      <c r="J35" s="618"/>
      <c r="K35" s="618"/>
      <c r="L35" s="618"/>
      <c r="M35" s="618"/>
      <c r="N35" s="618"/>
      <c r="O35" s="618"/>
      <c r="P35" s="618"/>
      <c r="Q35" s="618"/>
      <c r="R35" s="618"/>
      <c r="S35" s="621"/>
    </row>
    <row r="36" spans="1:19">
      <c r="A36" s="630">
        <v>1410000</v>
      </c>
      <c r="B36" s="623"/>
      <c r="C36" s="623"/>
      <c r="D36" s="623" t="s">
        <v>756</v>
      </c>
      <c r="E36" s="627" t="s">
        <v>789</v>
      </c>
      <c r="F36" s="631" t="s">
        <v>807</v>
      </c>
      <c r="G36" s="632"/>
      <c r="H36" s="633">
        <v>1410</v>
      </c>
      <c r="I36" s="618"/>
      <c r="J36" s="619" t="s">
        <v>789</v>
      </c>
      <c r="K36" s="618"/>
      <c r="L36" s="619">
        <v>8</v>
      </c>
      <c r="M36" s="620">
        <v>9</v>
      </c>
      <c r="N36" s="619"/>
      <c r="O36" s="619">
        <v>1</v>
      </c>
      <c r="P36" s="619" t="s">
        <v>760</v>
      </c>
      <c r="Q36" s="618"/>
      <c r="R36" s="618"/>
      <c r="S36" s="621"/>
    </row>
    <row r="37" spans="1:19">
      <c r="A37" s="622"/>
      <c r="B37" s="623"/>
      <c r="C37" s="623"/>
      <c r="D37" s="623" t="s">
        <v>775</v>
      </c>
      <c r="E37" s="627" t="s">
        <v>808</v>
      </c>
      <c r="F37" s="626"/>
      <c r="G37" s="623"/>
      <c r="H37" s="627"/>
      <c r="I37" s="618"/>
      <c r="J37" s="618"/>
      <c r="K37" s="618"/>
      <c r="L37" s="618"/>
      <c r="M37" s="618"/>
      <c r="N37" s="618"/>
      <c r="O37" s="618"/>
      <c r="P37" s="618"/>
      <c r="Q37" s="618"/>
      <c r="R37" s="618"/>
      <c r="S37" s="621"/>
    </row>
    <row r="38" spans="1:19">
      <c r="A38" s="630">
        <v>1420000</v>
      </c>
      <c r="B38" s="623"/>
      <c r="C38" s="623"/>
      <c r="D38" s="623"/>
      <c r="E38" s="627" t="s">
        <v>795</v>
      </c>
      <c r="F38" s="631" t="s">
        <v>809</v>
      </c>
      <c r="G38" s="632"/>
      <c r="H38" s="633">
        <v>1420</v>
      </c>
      <c r="I38" s="618"/>
      <c r="J38" s="619" t="s">
        <v>795</v>
      </c>
      <c r="K38" s="618"/>
      <c r="L38" s="619">
        <v>8</v>
      </c>
      <c r="M38" s="620">
        <v>9</v>
      </c>
      <c r="N38" s="619"/>
      <c r="O38" s="619">
        <v>1</v>
      </c>
      <c r="P38" s="619" t="s">
        <v>760</v>
      </c>
      <c r="Q38" s="618"/>
      <c r="R38" s="618"/>
      <c r="S38" s="621"/>
    </row>
    <row r="39" spans="1:19">
      <c r="A39" s="630">
        <v>1421000</v>
      </c>
      <c r="B39" s="623"/>
      <c r="C39" s="623"/>
      <c r="D39" s="623"/>
      <c r="E39" s="627" t="s">
        <v>797</v>
      </c>
      <c r="F39" s="631" t="s">
        <v>810</v>
      </c>
      <c r="G39" s="632"/>
      <c r="H39" s="633">
        <v>1421</v>
      </c>
      <c r="I39" s="618"/>
      <c r="J39" s="619" t="s">
        <v>797</v>
      </c>
      <c r="K39" s="618"/>
      <c r="L39" s="619">
        <v>8</v>
      </c>
      <c r="M39" s="620">
        <v>9</v>
      </c>
      <c r="N39" s="619"/>
      <c r="O39" s="619">
        <v>1</v>
      </c>
      <c r="P39" s="619" t="s">
        <v>760</v>
      </c>
      <c r="Q39" s="618"/>
      <c r="R39" s="618"/>
      <c r="S39" s="621"/>
    </row>
    <row r="40" spans="1:19">
      <c r="A40" s="622"/>
      <c r="B40" s="623"/>
      <c r="C40" s="623"/>
      <c r="D40" s="623" t="s">
        <v>799</v>
      </c>
      <c r="E40" s="627" t="s">
        <v>800</v>
      </c>
      <c r="F40" s="626"/>
      <c r="G40" s="623"/>
      <c r="H40" s="627"/>
      <c r="I40" s="618"/>
      <c r="J40" s="618"/>
      <c r="K40" s="618"/>
      <c r="L40" s="618"/>
      <c r="M40" s="618"/>
      <c r="N40" s="618"/>
      <c r="O40" s="618"/>
      <c r="P40" s="618"/>
      <c r="Q40" s="618"/>
      <c r="R40" s="618"/>
      <c r="S40" s="621"/>
    </row>
    <row r="41" spans="1:19">
      <c r="A41" s="630">
        <v>1430000</v>
      </c>
      <c r="B41" s="623"/>
      <c r="C41" s="623"/>
      <c r="D41" s="623"/>
      <c r="E41" s="627" t="s">
        <v>795</v>
      </c>
      <c r="F41" s="631" t="s">
        <v>811</v>
      </c>
      <c r="G41" s="632"/>
      <c r="H41" s="633">
        <v>1430</v>
      </c>
      <c r="I41" s="618"/>
      <c r="J41" s="619" t="s">
        <v>795</v>
      </c>
      <c r="K41" s="618"/>
      <c r="L41" s="619">
        <v>8</v>
      </c>
      <c r="M41" s="620">
        <v>9</v>
      </c>
      <c r="N41" s="619"/>
      <c r="O41" s="619">
        <v>1</v>
      </c>
      <c r="P41" s="619" t="s">
        <v>760</v>
      </c>
      <c r="Q41" s="618"/>
      <c r="R41" s="618"/>
      <c r="S41" s="621"/>
    </row>
    <row r="42" spans="1:19">
      <c r="A42" s="630">
        <v>1431000</v>
      </c>
      <c r="B42" s="623"/>
      <c r="C42" s="623"/>
      <c r="D42" s="623"/>
      <c r="E42" s="627" t="s">
        <v>797</v>
      </c>
      <c r="F42" s="631" t="s">
        <v>812</v>
      </c>
      <c r="G42" s="632"/>
      <c r="H42" s="633">
        <v>1431</v>
      </c>
      <c r="I42" s="618"/>
      <c r="J42" s="619" t="s">
        <v>797</v>
      </c>
      <c r="K42" s="618"/>
      <c r="L42" s="619">
        <v>8</v>
      </c>
      <c r="M42" s="620">
        <v>9</v>
      </c>
      <c r="N42" s="619"/>
      <c r="O42" s="619">
        <v>1</v>
      </c>
      <c r="P42" s="619" t="s">
        <v>760</v>
      </c>
      <c r="Q42" s="618"/>
      <c r="R42" s="618"/>
      <c r="S42" s="621"/>
    </row>
    <row r="43" spans="1:19">
      <c r="A43" s="630">
        <v>1440000</v>
      </c>
      <c r="B43" s="623"/>
      <c r="C43" s="623"/>
      <c r="D43" s="623" t="s">
        <v>803</v>
      </c>
      <c r="E43" s="627" t="s">
        <v>804</v>
      </c>
      <c r="F43" s="631" t="s">
        <v>813</v>
      </c>
      <c r="G43" s="632"/>
      <c r="H43" s="633">
        <v>1440</v>
      </c>
      <c r="I43" s="618"/>
      <c r="J43" s="619" t="s">
        <v>804</v>
      </c>
      <c r="K43" s="618"/>
      <c r="L43" s="619">
        <v>8</v>
      </c>
      <c r="M43" s="620">
        <v>9</v>
      </c>
      <c r="N43" s="619"/>
      <c r="O43" s="619">
        <v>1</v>
      </c>
      <c r="P43" s="619" t="s">
        <v>760</v>
      </c>
      <c r="Q43" s="618"/>
      <c r="R43" s="618"/>
      <c r="S43" s="621"/>
    </row>
    <row r="44" spans="1:19">
      <c r="A44" s="622"/>
      <c r="B44" s="623"/>
      <c r="C44" s="629">
        <v>5</v>
      </c>
      <c r="D44" s="774" t="s">
        <v>40</v>
      </c>
      <c r="E44" s="775"/>
      <c r="F44" s="626"/>
      <c r="G44" s="623"/>
      <c r="H44" s="627"/>
      <c r="I44" s="618"/>
      <c r="J44" s="618"/>
      <c r="K44" s="618"/>
      <c r="L44" s="618"/>
      <c r="M44" s="618"/>
      <c r="N44" s="618"/>
      <c r="O44" s="618"/>
      <c r="P44" s="618"/>
      <c r="Q44" s="618"/>
      <c r="R44" s="618"/>
      <c r="S44" s="621"/>
    </row>
    <row r="45" spans="1:19">
      <c r="A45" s="630">
        <v>1510000</v>
      </c>
      <c r="B45" s="623"/>
      <c r="C45" s="623"/>
      <c r="D45" s="623" t="s">
        <v>756</v>
      </c>
      <c r="E45" s="627" t="s">
        <v>814</v>
      </c>
      <c r="F45" s="631" t="s">
        <v>815</v>
      </c>
      <c r="G45" s="632"/>
      <c r="H45" s="633">
        <v>1510</v>
      </c>
      <c r="I45" s="618"/>
      <c r="J45" s="619" t="s">
        <v>814</v>
      </c>
      <c r="K45" s="618"/>
      <c r="L45" s="619">
        <v>3</v>
      </c>
      <c r="M45" s="620">
        <v>3</v>
      </c>
      <c r="N45" s="619"/>
      <c r="O45" s="619">
        <v>1</v>
      </c>
      <c r="P45" s="619" t="s">
        <v>760</v>
      </c>
      <c r="Q45" s="618"/>
      <c r="R45" s="618"/>
      <c r="S45" s="621"/>
    </row>
    <row r="46" spans="1:19">
      <c r="A46" s="636">
        <v>1531000</v>
      </c>
      <c r="B46" s="623"/>
      <c r="C46" s="623"/>
      <c r="D46" s="623" t="s">
        <v>775</v>
      </c>
      <c r="E46" s="627" t="s">
        <v>816</v>
      </c>
      <c r="F46" s="634" t="s">
        <v>817</v>
      </c>
      <c r="G46" s="623"/>
      <c r="H46" s="635">
        <v>1530</v>
      </c>
      <c r="I46" s="618"/>
      <c r="J46" s="619" t="s">
        <v>816</v>
      </c>
      <c r="K46" s="618"/>
      <c r="L46" s="619">
        <v>3</v>
      </c>
      <c r="M46" s="620">
        <v>3</v>
      </c>
      <c r="N46" s="619"/>
      <c r="O46" s="619">
        <v>1</v>
      </c>
      <c r="P46" s="619" t="s">
        <v>760</v>
      </c>
      <c r="Q46" s="618"/>
      <c r="R46" s="618"/>
      <c r="S46" s="621"/>
    </row>
    <row r="47" spans="1:19">
      <c r="A47" s="622"/>
      <c r="B47" s="623"/>
      <c r="C47" s="623"/>
      <c r="D47" s="623" t="s">
        <v>799</v>
      </c>
      <c r="E47" s="627" t="s">
        <v>818</v>
      </c>
      <c r="F47" s="626"/>
      <c r="G47" s="623"/>
      <c r="H47" s="627"/>
      <c r="I47" s="618"/>
      <c r="J47" s="618"/>
      <c r="K47" s="618"/>
      <c r="L47" s="618"/>
      <c r="M47" s="618"/>
      <c r="N47" s="618"/>
      <c r="O47" s="618"/>
      <c r="P47" s="618"/>
      <c r="Q47" s="618"/>
      <c r="R47" s="618"/>
      <c r="S47" s="621"/>
    </row>
    <row r="48" spans="1:19">
      <c r="A48" s="630">
        <v>1541000</v>
      </c>
      <c r="B48" s="623"/>
      <c r="C48" s="623"/>
      <c r="D48" s="623"/>
      <c r="E48" s="627" t="s">
        <v>819</v>
      </c>
      <c r="F48" s="631" t="s">
        <v>820</v>
      </c>
      <c r="G48" s="632"/>
      <c r="H48" s="633">
        <v>1541</v>
      </c>
      <c r="I48" s="618"/>
      <c r="J48" s="619" t="s">
        <v>819</v>
      </c>
      <c r="K48" s="618"/>
      <c r="L48" s="619">
        <v>3</v>
      </c>
      <c r="M48" s="620">
        <v>3</v>
      </c>
      <c r="N48" s="619"/>
      <c r="O48" s="619">
        <v>1</v>
      </c>
      <c r="P48" s="619" t="s">
        <v>760</v>
      </c>
      <c r="Q48" s="618"/>
      <c r="R48" s="618"/>
      <c r="S48" s="621"/>
    </row>
    <row r="49" spans="1:19">
      <c r="A49" s="630">
        <v>1542000</v>
      </c>
      <c r="B49" s="623"/>
      <c r="C49" s="623"/>
      <c r="D49" s="623"/>
      <c r="E49" s="627" t="s">
        <v>821</v>
      </c>
      <c r="F49" s="631" t="s">
        <v>822</v>
      </c>
      <c r="G49" s="632"/>
      <c r="H49" s="633">
        <v>1542</v>
      </c>
      <c r="I49" s="618"/>
      <c r="J49" s="619" t="s">
        <v>821</v>
      </c>
      <c r="K49" s="618"/>
      <c r="L49" s="619">
        <v>3</v>
      </c>
      <c r="M49" s="620">
        <v>3</v>
      </c>
      <c r="N49" s="619"/>
      <c r="O49" s="619">
        <v>1</v>
      </c>
      <c r="P49" s="619" t="s">
        <v>760</v>
      </c>
      <c r="Q49" s="618"/>
      <c r="R49" s="618"/>
      <c r="S49" s="621"/>
    </row>
    <row r="50" spans="1:19">
      <c r="A50" s="622"/>
      <c r="B50" s="623"/>
      <c r="C50" s="629">
        <v>6</v>
      </c>
      <c r="D50" s="774" t="s">
        <v>434</v>
      </c>
      <c r="E50" s="775"/>
      <c r="F50" s="626"/>
      <c r="G50" s="623"/>
      <c r="H50" s="627"/>
      <c r="I50" s="618"/>
      <c r="J50" s="618"/>
      <c r="K50" s="618"/>
      <c r="L50" s="618"/>
      <c r="M50" s="618"/>
      <c r="N50" s="618"/>
      <c r="O50" s="618"/>
      <c r="P50" s="618"/>
      <c r="Q50" s="618"/>
      <c r="R50" s="618"/>
      <c r="S50" s="621"/>
    </row>
    <row r="51" spans="1:19">
      <c r="A51" s="630">
        <v>1610000</v>
      </c>
      <c r="B51" s="623"/>
      <c r="C51" s="623"/>
      <c r="D51" s="623" t="s">
        <v>756</v>
      </c>
      <c r="E51" s="627" t="s">
        <v>823</v>
      </c>
      <c r="F51" s="631" t="s">
        <v>824</v>
      </c>
      <c r="G51" s="632"/>
      <c r="H51" s="633">
        <v>1610</v>
      </c>
      <c r="I51" s="618"/>
      <c r="J51" s="619" t="s">
        <v>823</v>
      </c>
      <c r="K51" s="618"/>
      <c r="L51" s="619">
        <v>4</v>
      </c>
      <c r="M51" s="620">
        <v>4</v>
      </c>
      <c r="N51" s="619"/>
      <c r="O51" s="619">
        <v>1</v>
      </c>
      <c r="P51" s="619" t="s">
        <v>760</v>
      </c>
      <c r="Q51" s="618"/>
      <c r="R51" s="618"/>
      <c r="S51" s="621"/>
    </row>
    <row r="52" spans="1:19">
      <c r="A52" s="630">
        <v>1620000</v>
      </c>
      <c r="B52" s="632"/>
      <c r="C52" s="632"/>
      <c r="D52" s="632" t="s">
        <v>775</v>
      </c>
      <c r="E52" s="637" t="s">
        <v>825</v>
      </c>
      <c r="F52" s="631" t="s">
        <v>826</v>
      </c>
      <c r="G52" s="632"/>
      <c r="H52" s="633">
        <v>1620</v>
      </c>
      <c r="I52" s="618"/>
      <c r="J52" s="619" t="s">
        <v>825</v>
      </c>
      <c r="K52" s="618"/>
      <c r="L52" s="619">
        <v>4</v>
      </c>
      <c r="M52" s="620">
        <v>4</v>
      </c>
      <c r="N52" s="619"/>
      <c r="O52" s="619">
        <v>1</v>
      </c>
      <c r="P52" s="619" t="s">
        <v>760</v>
      </c>
      <c r="Q52" s="618"/>
      <c r="R52" s="618"/>
      <c r="S52" s="621"/>
    </row>
    <row r="53" spans="1:19">
      <c r="A53" s="622"/>
      <c r="B53" s="623"/>
      <c r="C53" s="629">
        <v>7</v>
      </c>
      <c r="D53" s="774" t="s">
        <v>827</v>
      </c>
      <c r="E53" s="775"/>
      <c r="F53" s="626"/>
      <c r="G53" s="623"/>
      <c r="H53" s="627"/>
      <c r="I53" s="618"/>
      <c r="J53" s="618"/>
      <c r="K53" s="618"/>
      <c r="L53" s="618"/>
      <c r="M53" s="618"/>
      <c r="N53" s="618"/>
      <c r="O53" s="618"/>
      <c r="P53" s="618"/>
      <c r="Q53" s="618"/>
      <c r="R53" s="618"/>
      <c r="S53" s="621"/>
    </row>
    <row r="54" spans="1:19">
      <c r="A54" s="630">
        <v>1750000</v>
      </c>
      <c r="B54" s="623"/>
      <c r="C54" s="623"/>
      <c r="D54" s="638" t="s">
        <v>756</v>
      </c>
      <c r="E54" s="639" t="s">
        <v>828</v>
      </c>
      <c r="F54" s="640" t="s">
        <v>829</v>
      </c>
      <c r="G54" s="641"/>
      <c r="H54" s="642">
        <v>1750</v>
      </c>
      <c r="I54" s="618"/>
      <c r="J54" s="619" t="s">
        <v>828</v>
      </c>
      <c r="K54" s="618"/>
      <c r="L54" s="619">
        <v>8</v>
      </c>
      <c r="M54" s="620">
        <v>9</v>
      </c>
      <c r="N54" s="619"/>
      <c r="O54" s="619">
        <v>1</v>
      </c>
      <c r="P54" s="619" t="s">
        <v>760</v>
      </c>
      <c r="Q54" s="618"/>
      <c r="R54" s="618"/>
      <c r="S54" s="621"/>
    </row>
    <row r="55" spans="1:19">
      <c r="A55" s="630">
        <v>1760000</v>
      </c>
      <c r="B55" s="623"/>
      <c r="C55" s="623"/>
      <c r="D55" s="623" t="s">
        <v>775</v>
      </c>
      <c r="E55" s="627" t="s">
        <v>830</v>
      </c>
      <c r="F55" s="631" t="s">
        <v>831</v>
      </c>
      <c r="G55" s="632"/>
      <c r="H55" s="633">
        <v>1760</v>
      </c>
      <c r="I55" s="618"/>
      <c r="J55" s="619" t="s">
        <v>830</v>
      </c>
      <c r="K55" s="618"/>
      <c r="L55" s="619">
        <v>8</v>
      </c>
      <c r="M55" s="620">
        <v>9</v>
      </c>
      <c r="N55" s="619"/>
      <c r="O55" s="619">
        <v>1</v>
      </c>
      <c r="P55" s="619" t="s">
        <v>760</v>
      </c>
      <c r="Q55" s="618"/>
      <c r="R55" s="618"/>
      <c r="S55" s="621"/>
    </row>
    <row r="56" spans="1:19">
      <c r="A56" s="630">
        <v>1700000</v>
      </c>
      <c r="B56" s="623"/>
      <c r="C56" s="623"/>
      <c r="D56" s="623" t="s">
        <v>799</v>
      </c>
      <c r="E56" s="627" t="s">
        <v>832</v>
      </c>
      <c r="F56" s="631" t="s">
        <v>833</v>
      </c>
      <c r="G56" s="632"/>
      <c r="H56" s="633">
        <v>1700</v>
      </c>
      <c r="I56" s="618"/>
      <c r="J56" s="619" t="s">
        <v>832</v>
      </c>
      <c r="K56" s="618"/>
      <c r="L56" s="619">
        <v>8</v>
      </c>
      <c r="M56" s="620">
        <v>9</v>
      </c>
      <c r="N56" s="619"/>
      <c r="O56" s="619">
        <v>1</v>
      </c>
      <c r="P56" s="619" t="s">
        <v>760</v>
      </c>
      <c r="Q56" s="618"/>
      <c r="R56" s="618"/>
      <c r="S56" s="621"/>
    </row>
    <row r="57" spans="1:19">
      <c r="A57" s="630">
        <v>1800000</v>
      </c>
      <c r="B57" s="623"/>
      <c r="C57" s="629">
        <v>8</v>
      </c>
      <c r="D57" s="774" t="s">
        <v>834</v>
      </c>
      <c r="E57" s="775"/>
      <c r="F57" s="631" t="s">
        <v>835</v>
      </c>
      <c r="G57" s="632"/>
      <c r="H57" s="633">
        <v>1800</v>
      </c>
      <c r="I57" s="618"/>
      <c r="J57" s="619" t="s">
        <v>834</v>
      </c>
      <c r="K57" s="618"/>
      <c r="L57" s="619">
        <v>8</v>
      </c>
      <c r="M57" s="620">
        <v>9</v>
      </c>
      <c r="N57" s="619"/>
      <c r="O57" s="619">
        <v>1</v>
      </c>
      <c r="P57" s="619" t="s">
        <v>760</v>
      </c>
      <c r="Q57" s="618"/>
      <c r="R57" s="618"/>
      <c r="S57" s="621"/>
    </row>
    <row r="58" spans="1:19">
      <c r="A58" s="622"/>
      <c r="B58" s="623"/>
      <c r="C58" s="629">
        <v>9</v>
      </c>
      <c r="D58" s="774" t="s">
        <v>836</v>
      </c>
      <c r="E58" s="775"/>
      <c r="F58" s="626"/>
      <c r="G58" s="623"/>
      <c r="H58" s="627"/>
      <c r="I58" s="618"/>
      <c r="J58" s="618"/>
      <c r="K58" s="618"/>
      <c r="L58" s="618"/>
      <c r="M58" s="618"/>
      <c r="N58" s="618"/>
      <c r="O58" s="618"/>
      <c r="P58" s="618"/>
      <c r="Q58" s="618"/>
      <c r="R58" s="618"/>
      <c r="S58" s="621"/>
    </row>
    <row r="59" spans="1:19">
      <c r="A59" s="630">
        <v>1910000</v>
      </c>
      <c r="B59" s="623"/>
      <c r="C59" s="623"/>
      <c r="D59" s="623" t="s">
        <v>756</v>
      </c>
      <c r="E59" s="627" t="s">
        <v>837</v>
      </c>
      <c r="F59" s="631" t="s">
        <v>838</v>
      </c>
      <c r="G59" s="632"/>
      <c r="H59" s="633">
        <v>1910</v>
      </c>
      <c r="I59" s="618"/>
      <c r="J59" s="619" t="s">
        <v>837</v>
      </c>
      <c r="K59" s="618"/>
      <c r="L59" s="619">
        <v>8</v>
      </c>
      <c r="M59" s="620">
        <v>9</v>
      </c>
      <c r="N59" s="619"/>
      <c r="O59" s="619">
        <v>1</v>
      </c>
      <c r="P59" s="619" t="s">
        <v>760</v>
      </c>
      <c r="Q59" s="618"/>
      <c r="R59" s="618"/>
      <c r="S59" s="621"/>
    </row>
    <row r="60" spans="1:19">
      <c r="A60" s="630">
        <v>1920000</v>
      </c>
      <c r="B60" s="623"/>
      <c r="C60" s="623"/>
      <c r="D60" s="623" t="s">
        <v>775</v>
      </c>
      <c r="E60" s="627" t="s">
        <v>42</v>
      </c>
      <c r="F60" s="631" t="s">
        <v>839</v>
      </c>
      <c r="G60" s="632"/>
      <c r="H60" s="633">
        <v>1920</v>
      </c>
      <c r="I60" s="618"/>
      <c r="J60" s="619" t="s">
        <v>42</v>
      </c>
      <c r="K60" s="618"/>
      <c r="L60" s="619">
        <v>5</v>
      </c>
      <c r="M60" s="620">
        <v>5</v>
      </c>
      <c r="N60" s="619"/>
      <c r="O60" s="619">
        <v>1</v>
      </c>
      <c r="P60" s="619" t="s">
        <v>760</v>
      </c>
      <c r="Q60" s="618"/>
      <c r="R60" s="618"/>
      <c r="S60" s="621"/>
    </row>
    <row r="61" spans="1:19">
      <c r="A61" s="643">
        <v>1921000</v>
      </c>
      <c r="B61" s="644"/>
      <c r="C61" s="644"/>
      <c r="D61" s="644"/>
      <c r="E61" s="645" t="s">
        <v>840</v>
      </c>
      <c r="F61" s="646"/>
      <c r="G61" s="647"/>
      <c r="H61" s="648"/>
      <c r="I61" s="646"/>
      <c r="J61" s="646" t="s">
        <v>840</v>
      </c>
      <c r="K61" s="619" t="s">
        <v>841</v>
      </c>
      <c r="L61" s="619">
        <v>5</v>
      </c>
      <c r="M61" s="619">
        <v>5</v>
      </c>
      <c r="N61" s="618"/>
      <c r="O61" s="618"/>
      <c r="P61" s="618"/>
      <c r="Q61" s="618"/>
      <c r="R61" s="618"/>
      <c r="S61" s="621"/>
    </row>
    <row r="62" spans="1:19">
      <c r="A62" s="643">
        <v>1922000</v>
      </c>
      <c r="B62" s="644"/>
      <c r="C62" s="644"/>
      <c r="D62" s="644"/>
      <c r="E62" s="645" t="s">
        <v>842</v>
      </c>
      <c r="F62" s="646"/>
      <c r="G62" s="647"/>
      <c r="H62" s="648"/>
      <c r="I62" s="646"/>
      <c r="J62" s="646" t="s">
        <v>842</v>
      </c>
      <c r="K62" s="619" t="s">
        <v>841</v>
      </c>
      <c r="L62" s="619">
        <v>5</v>
      </c>
      <c r="M62" s="619">
        <v>5</v>
      </c>
      <c r="N62" s="618"/>
      <c r="O62" s="618"/>
      <c r="P62" s="618"/>
      <c r="Q62" s="618"/>
      <c r="R62" s="618"/>
      <c r="S62" s="621"/>
    </row>
    <row r="63" spans="1:19">
      <c r="A63" s="643">
        <v>1923000</v>
      </c>
      <c r="B63" s="644"/>
      <c r="C63" s="644"/>
      <c r="D63" s="644"/>
      <c r="E63" s="645" t="s">
        <v>843</v>
      </c>
      <c r="F63" s="646"/>
      <c r="G63" s="647"/>
      <c r="H63" s="648"/>
      <c r="I63" s="646"/>
      <c r="J63" s="646" t="s">
        <v>843</v>
      </c>
      <c r="K63" s="619" t="s">
        <v>841</v>
      </c>
      <c r="L63" s="619">
        <v>5</v>
      </c>
      <c r="M63" s="619">
        <v>5</v>
      </c>
      <c r="N63" s="618"/>
      <c r="O63" s="618"/>
      <c r="P63" s="618"/>
      <c r="Q63" s="618"/>
      <c r="R63" s="618"/>
      <c r="S63" s="621"/>
    </row>
    <row r="64" spans="1:19">
      <c r="A64" s="630">
        <v>1930000</v>
      </c>
      <c r="B64" s="623"/>
      <c r="C64" s="623"/>
      <c r="D64" s="623" t="s">
        <v>799</v>
      </c>
      <c r="E64" s="627" t="s">
        <v>844</v>
      </c>
      <c r="F64" s="631" t="s">
        <v>845</v>
      </c>
      <c r="G64" s="632"/>
      <c r="H64" s="633">
        <v>1930</v>
      </c>
      <c r="I64" s="618"/>
      <c r="J64" s="619" t="s">
        <v>844</v>
      </c>
      <c r="K64" s="618"/>
      <c r="L64" s="619">
        <v>8</v>
      </c>
      <c r="M64" s="620">
        <v>9</v>
      </c>
      <c r="N64" s="619"/>
      <c r="O64" s="619">
        <v>1</v>
      </c>
      <c r="P64" s="619" t="s">
        <v>760</v>
      </c>
      <c r="Q64" s="618"/>
      <c r="R64" s="618"/>
      <c r="S64" s="621"/>
    </row>
    <row r="65" spans="1:19">
      <c r="A65" s="630">
        <v>1935000</v>
      </c>
      <c r="B65" s="623"/>
      <c r="C65" s="623"/>
      <c r="D65" s="623" t="s">
        <v>803</v>
      </c>
      <c r="E65" s="627" t="s">
        <v>846</v>
      </c>
      <c r="F65" s="631" t="s">
        <v>847</v>
      </c>
      <c r="G65" s="632"/>
      <c r="H65" s="633">
        <v>1935</v>
      </c>
      <c r="I65" s="618"/>
      <c r="J65" s="619" t="s">
        <v>846</v>
      </c>
      <c r="K65" s="618"/>
      <c r="L65" s="619">
        <v>8</v>
      </c>
      <c r="M65" s="620">
        <v>9</v>
      </c>
      <c r="N65" s="619"/>
      <c r="O65" s="619">
        <v>1</v>
      </c>
      <c r="P65" s="619" t="s">
        <v>760</v>
      </c>
      <c r="Q65" s="618"/>
      <c r="R65" s="618"/>
      <c r="S65" s="621"/>
    </row>
    <row r="66" spans="1:19">
      <c r="A66" s="630">
        <v>1940000</v>
      </c>
      <c r="B66" s="623"/>
      <c r="C66" s="623"/>
      <c r="D66" s="623" t="s">
        <v>848</v>
      </c>
      <c r="E66" s="627" t="s">
        <v>849</v>
      </c>
      <c r="F66" s="631" t="s">
        <v>850</v>
      </c>
      <c r="G66" s="632"/>
      <c r="H66" s="633">
        <v>1940</v>
      </c>
      <c r="I66" s="618"/>
      <c r="J66" s="619" t="s">
        <v>849</v>
      </c>
      <c r="K66" s="618"/>
      <c r="L66" s="619">
        <v>8</v>
      </c>
      <c r="M66" s="620">
        <v>9</v>
      </c>
      <c r="N66" s="619"/>
      <c r="O66" s="619">
        <v>1</v>
      </c>
      <c r="P66" s="619" t="s">
        <v>760</v>
      </c>
      <c r="Q66" s="618"/>
      <c r="R66" s="618"/>
      <c r="S66" s="621"/>
    </row>
    <row r="67" spans="1:19">
      <c r="A67" s="630">
        <v>1950000</v>
      </c>
      <c r="B67" s="623"/>
      <c r="C67" s="623"/>
      <c r="D67" s="623" t="s">
        <v>851</v>
      </c>
      <c r="E67" s="627" t="s">
        <v>852</v>
      </c>
      <c r="F67" s="631" t="s">
        <v>853</v>
      </c>
      <c r="G67" s="632"/>
      <c r="H67" s="633">
        <v>1950</v>
      </c>
      <c r="I67" s="618"/>
      <c r="J67" s="619" t="s">
        <v>852</v>
      </c>
      <c r="K67" s="618"/>
      <c r="L67" s="619">
        <v>8</v>
      </c>
      <c r="M67" s="620">
        <v>9</v>
      </c>
      <c r="N67" s="619"/>
      <c r="O67" s="619">
        <v>1</v>
      </c>
      <c r="P67" s="619" t="s">
        <v>760</v>
      </c>
      <c r="Q67" s="618"/>
      <c r="R67" s="618"/>
      <c r="S67" s="621"/>
    </row>
    <row r="68" spans="1:19">
      <c r="A68" s="630">
        <v>1960000</v>
      </c>
      <c r="B68" s="623"/>
      <c r="C68" s="623"/>
      <c r="D68" s="623" t="s">
        <v>854</v>
      </c>
      <c r="E68" s="627" t="s">
        <v>855</v>
      </c>
      <c r="F68" s="631" t="s">
        <v>856</v>
      </c>
      <c r="G68" s="632"/>
      <c r="H68" s="633">
        <v>1960</v>
      </c>
      <c r="I68" s="618"/>
      <c r="J68" s="619" t="s">
        <v>855</v>
      </c>
      <c r="K68" s="618"/>
      <c r="L68" s="619">
        <v>8</v>
      </c>
      <c r="M68" s="620">
        <v>9</v>
      </c>
      <c r="N68" s="619"/>
      <c r="O68" s="619">
        <v>1</v>
      </c>
      <c r="P68" s="619" t="s">
        <v>760</v>
      </c>
      <c r="Q68" s="618"/>
      <c r="R68" s="618"/>
      <c r="S68" s="621"/>
    </row>
    <row r="69" spans="1:19">
      <c r="A69" s="630">
        <v>1970000</v>
      </c>
      <c r="B69" s="623"/>
      <c r="C69" s="623"/>
      <c r="D69" s="623" t="s">
        <v>857</v>
      </c>
      <c r="E69" s="627" t="s">
        <v>858</v>
      </c>
      <c r="F69" s="634" t="s">
        <v>859</v>
      </c>
      <c r="G69" s="623"/>
      <c r="H69" s="635">
        <v>1970</v>
      </c>
      <c r="I69" s="618"/>
      <c r="J69" s="619" t="s">
        <v>858</v>
      </c>
      <c r="K69" s="618"/>
      <c r="L69" s="619">
        <v>8</v>
      </c>
      <c r="M69" s="620">
        <v>9</v>
      </c>
      <c r="N69" s="619"/>
      <c r="O69" s="619">
        <v>1</v>
      </c>
      <c r="P69" s="619" t="s">
        <v>760</v>
      </c>
      <c r="Q69" s="618"/>
      <c r="R69" s="618"/>
      <c r="S69" s="621"/>
    </row>
    <row r="70" spans="1:19">
      <c r="A70" s="622"/>
      <c r="B70" s="623"/>
      <c r="C70" s="623"/>
      <c r="D70" s="623" t="s">
        <v>860</v>
      </c>
      <c r="E70" s="627" t="s">
        <v>861</v>
      </c>
      <c r="F70" s="626"/>
      <c r="G70" s="623"/>
      <c r="H70" s="627"/>
      <c r="I70" s="618"/>
      <c r="J70" s="618"/>
      <c r="K70" s="618"/>
      <c r="L70" s="618"/>
      <c r="M70" s="618"/>
      <c r="N70" s="618"/>
      <c r="O70" s="618"/>
      <c r="P70" s="618"/>
      <c r="Q70" s="618"/>
      <c r="R70" s="618"/>
      <c r="S70" s="621"/>
    </row>
    <row r="71" spans="1:19">
      <c r="A71" s="630">
        <v>1991000</v>
      </c>
      <c r="B71" s="623"/>
      <c r="C71" s="623"/>
      <c r="D71" s="623"/>
      <c r="E71" s="627" t="s">
        <v>862</v>
      </c>
      <c r="F71" s="631" t="s">
        <v>863</v>
      </c>
      <c r="G71" s="632"/>
      <c r="H71" s="633">
        <v>1991</v>
      </c>
      <c r="I71" s="618"/>
      <c r="J71" s="619" t="s">
        <v>862</v>
      </c>
      <c r="K71" s="618"/>
      <c r="L71" s="619">
        <v>8</v>
      </c>
      <c r="M71" s="620">
        <v>9</v>
      </c>
      <c r="N71" s="619"/>
      <c r="O71" s="619">
        <v>1</v>
      </c>
      <c r="P71" s="619" t="s">
        <v>760</v>
      </c>
      <c r="Q71" s="618"/>
      <c r="R71" s="618"/>
      <c r="S71" s="621"/>
    </row>
    <row r="72" spans="1:19">
      <c r="A72" s="630">
        <v>1992000</v>
      </c>
      <c r="B72" s="623"/>
      <c r="C72" s="623"/>
      <c r="D72" s="623"/>
      <c r="E72" s="627" t="s">
        <v>864</v>
      </c>
      <c r="F72" s="631" t="s">
        <v>865</v>
      </c>
      <c r="G72" s="632"/>
      <c r="H72" s="633">
        <v>1992</v>
      </c>
      <c r="I72" s="618"/>
      <c r="J72" s="619" t="s">
        <v>864</v>
      </c>
      <c r="K72" s="618"/>
      <c r="L72" s="619">
        <v>8</v>
      </c>
      <c r="M72" s="620">
        <v>9</v>
      </c>
      <c r="N72" s="619"/>
      <c r="O72" s="619">
        <v>1</v>
      </c>
      <c r="P72" s="619" t="s">
        <v>760</v>
      </c>
      <c r="Q72" s="618"/>
      <c r="R72" s="618"/>
      <c r="S72" s="621"/>
    </row>
    <row r="73" spans="1:19">
      <c r="A73" s="630">
        <v>1993000</v>
      </c>
      <c r="B73" s="623"/>
      <c r="C73" s="623"/>
      <c r="D73" s="623"/>
      <c r="E73" s="627" t="s">
        <v>866</v>
      </c>
      <c r="F73" s="631" t="s">
        <v>867</v>
      </c>
      <c r="G73" s="632"/>
      <c r="H73" s="633">
        <v>1993</v>
      </c>
      <c r="I73" s="618"/>
      <c r="J73" s="619" t="s">
        <v>866</v>
      </c>
      <c r="K73" s="618"/>
      <c r="L73" s="619">
        <v>6</v>
      </c>
      <c r="M73" s="620">
        <v>6</v>
      </c>
      <c r="N73" s="619"/>
      <c r="O73" s="619">
        <v>1</v>
      </c>
      <c r="P73" s="619" t="s">
        <v>760</v>
      </c>
      <c r="Q73" s="618"/>
      <c r="R73" s="618"/>
      <c r="S73" s="621"/>
    </row>
    <row r="74" spans="1:19">
      <c r="A74" s="630">
        <v>1994000</v>
      </c>
      <c r="B74" s="623"/>
      <c r="C74" s="623"/>
      <c r="D74" s="623"/>
      <c r="E74" s="627" t="s">
        <v>868</v>
      </c>
      <c r="F74" s="634" t="s">
        <v>869</v>
      </c>
      <c r="G74" s="623"/>
      <c r="H74" s="635">
        <v>1994</v>
      </c>
      <c r="I74" s="618"/>
      <c r="J74" s="619" t="s">
        <v>868</v>
      </c>
      <c r="K74" s="618"/>
      <c r="L74" s="619">
        <v>7</v>
      </c>
      <c r="M74" s="620">
        <v>2</v>
      </c>
      <c r="N74" s="619"/>
      <c r="O74" s="619">
        <v>1</v>
      </c>
      <c r="P74" s="619" t="s">
        <v>760</v>
      </c>
      <c r="Q74" s="618"/>
      <c r="R74" s="618"/>
      <c r="S74" s="621"/>
    </row>
    <row r="75" spans="1:19">
      <c r="A75" s="630">
        <v>1999000</v>
      </c>
      <c r="B75" s="623"/>
      <c r="C75" s="623"/>
      <c r="D75" s="623"/>
      <c r="E75" s="627" t="s">
        <v>870</v>
      </c>
      <c r="F75" s="634" t="s">
        <v>871</v>
      </c>
      <c r="G75" s="623"/>
      <c r="H75" s="635">
        <v>1999</v>
      </c>
      <c r="I75" s="618"/>
      <c r="J75" s="619" t="s">
        <v>870</v>
      </c>
      <c r="K75" s="618"/>
      <c r="L75" s="619">
        <v>8</v>
      </c>
      <c r="M75" s="620">
        <v>9</v>
      </c>
      <c r="N75" s="619"/>
      <c r="O75" s="619">
        <v>1</v>
      </c>
      <c r="P75" s="619" t="s">
        <v>760</v>
      </c>
      <c r="Q75" s="618"/>
      <c r="R75" s="618"/>
      <c r="S75" s="621"/>
    </row>
    <row r="76" spans="1:19">
      <c r="A76" s="643">
        <v>4444444</v>
      </c>
      <c r="B76" s="644"/>
      <c r="C76" s="644"/>
      <c r="D76" s="644"/>
      <c r="E76" s="645" t="s">
        <v>872</v>
      </c>
      <c r="F76" s="649" t="s">
        <v>871</v>
      </c>
      <c r="G76" s="647"/>
      <c r="H76" s="648">
        <v>1999</v>
      </c>
      <c r="I76" s="646"/>
      <c r="J76" s="646" t="s">
        <v>872</v>
      </c>
      <c r="K76" s="619" t="s">
        <v>841</v>
      </c>
      <c r="L76" s="619">
        <v>8</v>
      </c>
      <c r="M76" s="620">
        <v>9</v>
      </c>
      <c r="N76" s="619"/>
      <c r="O76" s="619">
        <v>1</v>
      </c>
      <c r="P76" s="619" t="s">
        <v>760</v>
      </c>
      <c r="Q76" s="618"/>
      <c r="R76" s="618"/>
      <c r="S76" s="621"/>
    </row>
    <row r="77" spans="1:19">
      <c r="A77" s="650">
        <v>1999100</v>
      </c>
      <c r="B77" s="651"/>
      <c r="C77" s="651"/>
      <c r="D77" s="651"/>
      <c r="E77" s="652" t="s">
        <v>873</v>
      </c>
      <c r="F77" s="649" t="s">
        <v>871</v>
      </c>
      <c r="G77" s="644"/>
      <c r="H77" s="653">
        <v>1999</v>
      </c>
      <c r="I77" s="646"/>
      <c r="J77" s="646" t="s">
        <v>873</v>
      </c>
      <c r="K77" s="619" t="s">
        <v>874</v>
      </c>
      <c r="L77" s="619">
        <v>8</v>
      </c>
      <c r="M77" s="620">
        <v>9</v>
      </c>
      <c r="N77" s="619"/>
      <c r="O77" s="619">
        <v>1</v>
      </c>
      <c r="P77" s="619" t="s">
        <v>760</v>
      </c>
      <c r="Q77" s="618"/>
      <c r="R77" s="618"/>
      <c r="S77" s="621"/>
    </row>
    <row r="78" spans="1:19">
      <c r="A78" s="650">
        <v>1999200</v>
      </c>
      <c r="B78" s="651"/>
      <c r="C78" s="651"/>
      <c r="D78" s="651"/>
      <c r="E78" s="652" t="s">
        <v>875</v>
      </c>
      <c r="F78" s="649" t="s">
        <v>871</v>
      </c>
      <c r="G78" s="644"/>
      <c r="H78" s="653">
        <v>1999</v>
      </c>
      <c r="I78" s="646"/>
      <c r="J78" s="646" t="s">
        <v>875</v>
      </c>
      <c r="K78" s="619" t="s">
        <v>874</v>
      </c>
      <c r="L78" s="619">
        <v>8</v>
      </c>
      <c r="M78" s="620">
        <v>9</v>
      </c>
      <c r="N78" s="619"/>
      <c r="O78" s="619">
        <v>1</v>
      </c>
      <c r="P78" s="619" t="s">
        <v>760</v>
      </c>
      <c r="Q78" s="618"/>
      <c r="R78" s="618"/>
      <c r="S78" s="621"/>
    </row>
    <row r="79" spans="1:19">
      <c r="A79" s="650">
        <v>1999300</v>
      </c>
      <c r="B79" s="651"/>
      <c r="C79" s="651"/>
      <c r="D79" s="651"/>
      <c r="E79" s="652" t="s">
        <v>876</v>
      </c>
      <c r="F79" s="649" t="s">
        <v>871</v>
      </c>
      <c r="G79" s="644"/>
      <c r="H79" s="653">
        <v>1999</v>
      </c>
      <c r="I79" s="646"/>
      <c r="J79" s="646" t="s">
        <v>876</v>
      </c>
      <c r="K79" s="619" t="s">
        <v>874</v>
      </c>
      <c r="L79" s="619">
        <v>8</v>
      </c>
      <c r="M79" s="620">
        <v>9</v>
      </c>
      <c r="N79" s="619"/>
      <c r="O79" s="619">
        <v>1</v>
      </c>
      <c r="P79" s="619" t="s">
        <v>760</v>
      </c>
      <c r="Q79" s="618"/>
      <c r="R79" s="618"/>
      <c r="S79" s="621"/>
    </row>
    <row r="80" spans="1:19">
      <c r="A80" s="622"/>
      <c r="B80" s="628"/>
      <c r="C80" s="628"/>
      <c r="D80" s="628"/>
      <c r="E80" s="654"/>
      <c r="F80" s="655"/>
      <c r="G80" s="628"/>
      <c r="H80" s="654"/>
      <c r="I80" s="618"/>
      <c r="J80" s="618"/>
      <c r="K80" s="618"/>
      <c r="L80" s="618"/>
      <c r="M80" s="618"/>
      <c r="N80" s="618"/>
      <c r="O80" s="618"/>
      <c r="P80" s="618"/>
      <c r="Q80" s="618"/>
      <c r="R80" s="618"/>
      <c r="S80" s="621"/>
    </row>
    <row r="81" spans="1:19">
      <c r="A81" s="622"/>
      <c r="B81" s="628"/>
      <c r="C81" s="628"/>
      <c r="D81" s="628"/>
      <c r="E81" s="654"/>
      <c r="F81" s="655"/>
      <c r="G81" s="628"/>
      <c r="H81" s="654"/>
      <c r="I81" s="618"/>
      <c r="J81" s="618"/>
      <c r="K81" s="618"/>
      <c r="L81" s="618"/>
      <c r="M81" s="618"/>
      <c r="N81" s="618"/>
      <c r="O81" s="618"/>
      <c r="P81" s="618"/>
      <c r="Q81" s="618"/>
      <c r="R81" s="618"/>
      <c r="S81" s="621"/>
    </row>
    <row r="82" spans="1:19">
      <c r="A82" s="622"/>
      <c r="B82" s="628"/>
      <c r="C82" s="628"/>
      <c r="D82" s="628"/>
      <c r="E82" s="654"/>
      <c r="F82" s="655"/>
      <c r="G82" s="628"/>
      <c r="H82" s="654"/>
      <c r="I82" s="618"/>
      <c r="J82" s="618"/>
      <c r="K82" s="618"/>
      <c r="L82" s="618"/>
      <c r="M82" s="618"/>
      <c r="N82" s="618"/>
      <c r="O82" s="618"/>
      <c r="P82" s="618"/>
      <c r="Q82" s="618"/>
      <c r="R82" s="618"/>
      <c r="S82" s="621"/>
    </row>
    <row r="83" spans="1:19">
      <c r="A83" s="622"/>
      <c r="B83" s="628"/>
      <c r="C83" s="628"/>
      <c r="D83" s="628"/>
      <c r="E83" s="654"/>
      <c r="F83" s="655"/>
      <c r="G83" s="628"/>
      <c r="H83" s="654"/>
      <c r="I83" s="618"/>
      <c r="J83" s="618"/>
      <c r="K83" s="618"/>
      <c r="L83" s="618"/>
      <c r="M83" s="618"/>
      <c r="N83" s="618"/>
      <c r="O83" s="618"/>
      <c r="P83" s="618"/>
      <c r="Q83" s="618"/>
      <c r="R83" s="618"/>
      <c r="S83" s="621"/>
    </row>
    <row r="84" spans="1:19">
      <c r="A84" s="622"/>
      <c r="B84" s="628"/>
      <c r="C84" s="628"/>
      <c r="D84" s="628"/>
      <c r="E84" s="654"/>
      <c r="F84" s="655"/>
      <c r="G84" s="628"/>
      <c r="H84" s="654"/>
      <c r="I84" s="618"/>
      <c r="J84" s="618"/>
      <c r="K84" s="618"/>
      <c r="L84" s="618"/>
      <c r="M84" s="618"/>
      <c r="N84" s="618"/>
      <c r="O84" s="618"/>
      <c r="P84" s="618"/>
      <c r="Q84" s="618"/>
      <c r="R84" s="618"/>
      <c r="S84" s="621"/>
    </row>
    <row r="85" spans="1:19" ht="16" thickBot="1">
      <c r="A85" s="622"/>
      <c r="B85" s="628"/>
      <c r="C85" s="628"/>
      <c r="D85" s="628"/>
      <c r="E85" s="654"/>
      <c r="F85" s="655"/>
      <c r="G85" s="628"/>
      <c r="H85" s="654"/>
      <c r="I85" s="618"/>
      <c r="J85" s="618"/>
      <c r="K85" s="618"/>
      <c r="L85" s="618"/>
      <c r="M85" s="618"/>
      <c r="N85" s="618"/>
      <c r="O85" s="618"/>
      <c r="P85" s="618"/>
      <c r="Q85" s="618"/>
      <c r="R85" s="618"/>
      <c r="S85" s="621"/>
    </row>
    <row r="86" spans="1:19" ht="16.5" thickTop="1" thickBot="1">
      <c r="A86" s="622"/>
      <c r="B86" s="781" t="s">
        <v>877</v>
      </c>
      <c r="C86" s="773"/>
      <c r="D86" s="773"/>
      <c r="E86" s="782"/>
      <c r="F86" s="656" t="s">
        <v>643</v>
      </c>
      <c r="G86" s="657"/>
      <c r="H86" s="658"/>
      <c r="I86" s="618"/>
      <c r="J86" s="618"/>
      <c r="K86" s="618"/>
      <c r="L86" s="618"/>
      <c r="M86" s="618"/>
      <c r="N86" s="618"/>
      <c r="O86" s="618"/>
      <c r="P86" s="618"/>
      <c r="Q86" s="618"/>
      <c r="R86" s="618"/>
      <c r="S86" s="621"/>
    </row>
    <row r="87" spans="1:19" ht="16" thickTop="1">
      <c r="A87" s="622"/>
      <c r="B87" s="624"/>
      <c r="C87" s="623"/>
      <c r="D87" s="623"/>
      <c r="E87" s="627"/>
      <c r="F87" s="626"/>
      <c r="G87" s="623"/>
      <c r="H87" s="627"/>
      <c r="I87" s="618"/>
      <c r="J87" s="618"/>
      <c r="K87" s="618"/>
      <c r="L87" s="618"/>
      <c r="M87" s="618"/>
      <c r="N87" s="618"/>
      <c r="O87" s="618"/>
      <c r="P87" s="618"/>
      <c r="Q87" s="618"/>
      <c r="R87" s="618"/>
      <c r="S87" s="621"/>
    </row>
    <row r="88" spans="1:19">
      <c r="A88" s="622"/>
      <c r="B88" s="628" t="s">
        <v>878</v>
      </c>
      <c r="C88" s="770" t="s">
        <v>44</v>
      </c>
      <c r="D88" s="771"/>
      <c r="E88" s="775"/>
      <c r="F88" s="626"/>
      <c r="G88" s="623"/>
      <c r="H88" s="627"/>
      <c r="I88" s="618"/>
      <c r="J88" s="618"/>
      <c r="K88" s="618"/>
      <c r="L88" s="618"/>
      <c r="M88" s="618"/>
      <c r="N88" s="618"/>
      <c r="O88" s="618"/>
      <c r="P88" s="618"/>
      <c r="Q88" s="618"/>
      <c r="R88" s="618"/>
      <c r="S88" s="621"/>
    </row>
    <row r="89" spans="1:19">
      <c r="A89" s="622"/>
      <c r="B89" s="623"/>
      <c r="C89" s="629">
        <v>10</v>
      </c>
      <c r="D89" s="774" t="s">
        <v>879</v>
      </c>
      <c r="E89" s="775"/>
      <c r="F89" s="626"/>
      <c r="G89" s="623"/>
      <c r="H89" s="627"/>
      <c r="I89" s="618"/>
      <c r="J89" s="618"/>
      <c r="K89" s="618"/>
      <c r="L89" s="618"/>
      <c r="M89" s="618"/>
      <c r="N89" s="618"/>
      <c r="O89" s="618"/>
      <c r="P89" s="618"/>
      <c r="Q89" s="618"/>
      <c r="R89" s="618"/>
      <c r="S89" s="621"/>
    </row>
    <row r="90" spans="1:19">
      <c r="A90" s="630">
        <v>3110000</v>
      </c>
      <c r="B90" s="623"/>
      <c r="C90" s="623"/>
      <c r="D90" s="623" t="s">
        <v>756</v>
      </c>
      <c r="E90" s="627" t="s">
        <v>880</v>
      </c>
      <c r="F90" s="631" t="s">
        <v>648</v>
      </c>
      <c r="G90" s="632"/>
      <c r="H90" s="633">
        <v>3110</v>
      </c>
      <c r="I90" s="618"/>
      <c r="J90" s="619" t="s">
        <v>880</v>
      </c>
      <c r="K90" s="618"/>
      <c r="L90" s="619">
        <v>16</v>
      </c>
      <c r="M90" s="620">
        <v>17</v>
      </c>
      <c r="N90" s="619"/>
      <c r="O90" s="619">
        <v>3</v>
      </c>
      <c r="P90" s="619" t="s">
        <v>760</v>
      </c>
      <c r="Q90" s="618"/>
      <c r="R90" s="618"/>
      <c r="S90" s="621"/>
    </row>
    <row r="91" spans="1:19">
      <c r="A91" s="630">
        <v>3115000</v>
      </c>
      <c r="B91" s="623"/>
      <c r="C91" s="623"/>
      <c r="D91" s="623" t="s">
        <v>775</v>
      </c>
      <c r="E91" s="627" t="s">
        <v>881</v>
      </c>
      <c r="F91" s="631" t="s">
        <v>650</v>
      </c>
      <c r="G91" s="632"/>
      <c r="H91" s="633">
        <v>3115</v>
      </c>
      <c r="I91" s="618"/>
      <c r="J91" s="619" t="s">
        <v>881</v>
      </c>
      <c r="K91" s="618"/>
      <c r="L91" s="619">
        <v>16</v>
      </c>
      <c r="M91" s="620">
        <v>17</v>
      </c>
      <c r="N91" s="619"/>
      <c r="O91" s="619">
        <v>4</v>
      </c>
      <c r="P91" s="619" t="s">
        <v>760</v>
      </c>
      <c r="Q91" s="618"/>
      <c r="R91" s="618"/>
      <c r="S91" s="621"/>
    </row>
    <row r="92" spans="1:19">
      <c r="A92" s="630">
        <v>3120000</v>
      </c>
      <c r="B92" s="623"/>
      <c r="C92" s="623"/>
      <c r="D92" s="623" t="s">
        <v>799</v>
      </c>
      <c r="E92" s="627" t="s">
        <v>882</v>
      </c>
      <c r="F92" s="631" t="s">
        <v>883</v>
      </c>
      <c r="G92" s="632"/>
      <c r="H92" s="633">
        <v>3120</v>
      </c>
      <c r="I92" s="618"/>
      <c r="J92" s="619" t="s">
        <v>882</v>
      </c>
      <c r="K92" s="618"/>
      <c r="L92" s="619">
        <v>25</v>
      </c>
      <c r="M92" s="620">
        <v>25</v>
      </c>
      <c r="N92" s="619"/>
      <c r="O92" s="619">
        <v>2</v>
      </c>
      <c r="P92" s="619" t="s">
        <v>760</v>
      </c>
      <c r="Q92" s="618"/>
      <c r="R92" s="618"/>
      <c r="S92" s="621"/>
    </row>
    <row r="93" spans="1:19">
      <c r="A93" s="630">
        <v>3190000</v>
      </c>
      <c r="B93" s="623"/>
      <c r="C93" s="623"/>
      <c r="D93" s="623" t="s">
        <v>803</v>
      </c>
      <c r="E93" s="627" t="s">
        <v>47</v>
      </c>
      <c r="F93" s="631" t="s">
        <v>884</v>
      </c>
      <c r="G93" s="632"/>
      <c r="H93" s="633">
        <v>3190</v>
      </c>
      <c r="I93" s="618"/>
      <c r="J93" s="619" t="s">
        <v>47</v>
      </c>
      <c r="K93" s="618"/>
      <c r="L93" s="619">
        <v>17</v>
      </c>
      <c r="M93" s="620">
        <v>18</v>
      </c>
      <c r="N93" s="619"/>
      <c r="O93" s="619">
        <v>2</v>
      </c>
      <c r="P93" s="619" t="s">
        <v>760</v>
      </c>
      <c r="Q93" s="618"/>
      <c r="R93" s="618"/>
      <c r="S93" s="621"/>
    </row>
    <row r="94" spans="1:19">
      <c r="A94" s="630">
        <v>0</v>
      </c>
      <c r="B94" s="623"/>
      <c r="C94" s="629">
        <v>11</v>
      </c>
      <c r="D94" s="774" t="s">
        <v>885</v>
      </c>
      <c r="E94" s="775"/>
      <c r="F94" s="626"/>
      <c r="G94" s="623"/>
      <c r="H94" s="627"/>
      <c r="I94" s="618"/>
      <c r="J94" s="619" t="s">
        <v>885</v>
      </c>
      <c r="K94" s="618"/>
      <c r="L94" s="618"/>
      <c r="M94" s="618"/>
      <c r="N94" s="618"/>
      <c r="O94" s="618"/>
      <c r="P94" s="618"/>
      <c r="Q94" s="618"/>
      <c r="R94" s="618"/>
      <c r="S94" s="621"/>
    </row>
    <row r="95" spans="1:19">
      <c r="A95" s="630">
        <v>3210000</v>
      </c>
      <c r="B95" s="623"/>
      <c r="C95" s="623"/>
      <c r="D95" s="623" t="s">
        <v>756</v>
      </c>
      <c r="E95" s="627" t="s">
        <v>886</v>
      </c>
      <c r="F95" s="631" t="s">
        <v>887</v>
      </c>
      <c r="G95" s="632"/>
      <c r="H95" s="633">
        <v>3210</v>
      </c>
      <c r="I95" s="618"/>
      <c r="J95" s="619" t="s">
        <v>886</v>
      </c>
      <c r="K95" s="618"/>
      <c r="L95" s="619">
        <v>25</v>
      </c>
      <c r="M95" s="620">
        <v>25</v>
      </c>
      <c r="N95" s="619"/>
      <c r="O95" s="619">
        <v>2</v>
      </c>
      <c r="P95" s="619" t="s">
        <v>760</v>
      </c>
      <c r="Q95" s="618"/>
      <c r="R95" s="618"/>
      <c r="S95" s="621"/>
    </row>
    <row r="96" spans="1:19">
      <c r="A96" s="630">
        <v>3220000</v>
      </c>
      <c r="B96" s="623"/>
      <c r="C96" s="623"/>
      <c r="D96" s="623" t="s">
        <v>775</v>
      </c>
      <c r="E96" s="626" t="s">
        <v>49</v>
      </c>
      <c r="F96" s="631" t="s">
        <v>888</v>
      </c>
      <c r="G96" s="632"/>
      <c r="H96" s="633">
        <v>3220</v>
      </c>
      <c r="I96" s="618"/>
      <c r="J96" s="619" t="s">
        <v>49</v>
      </c>
      <c r="K96" s="618"/>
      <c r="L96" s="619">
        <v>19</v>
      </c>
      <c r="M96" s="620">
        <v>20</v>
      </c>
      <c r="N96" s="619"/>
      <c r="O96" s="619">
        <v>2</v>
      </c>
      <c r="P96" s="619" t="s">
        <v>760</v>
      </c>
      <c r="Q96" s="618"/>
      <c r="R96" s="618"/>
      <c r="S96" s="621"/>
    </row>
    <row r="97" spans="1:19">
      <c r="A97" s="630">
        <v>3223000</v>
      </c>
      <c r="B97" s="623"/>
      <c r="C97" s="623"/>
      <c r="D97" s="623" t="s">
        <v>799</v>
      </c>
      <c r="E97" s="627" t="s">
        <v>889</v>
      </c>
      <c r="F97" s="631" t="s">
        <v>890</v>
      </c>
      <c r="G97" s="632"/>
      <c r="H97" s="633">
        <v>3223</v>
      </c>
      <c r="I97" s="618"/>
      <c r="J97" s="619" t="s">
        <v>889</v>
      </c>
      <c r="K97" s="618"/>
      <c r="L97" s="619">
        <v>25</v>
      </c>
      <c r="M97" s="620">
        <v>25</v>
      </c>
      <c r="N97" s="619"/>
      <c r="O97" s="619">
        <v>2</v>
      </c>
      <c r="P97" s="619" t="s">
        <v>760</v>
      </c>
      <c r="Q97" s="618"/>
      <c r="R97" s="618"/>
      <c r="S97" s="621"/>
    </row>
    <row r="98" spans="1:19">
      <c r="A98" s="630">
        <v>3225000</v>
      </c>
      <c r="B98" s="623"/>
      <c r="C98" s="623"/>
      <c r="D98" s="623" t="s">
        <v>803</v>
      </c>
      <c r="E98" s="627" t="s">
        <v>891</v>
      </c>
      <c r="F98" s="631" t="s">
        <v>892</v>
      </c>
      <c r="G98" s="632"/>
      <c r="H98" s="633">
        <v>3225</v>
      </c>
      <c r="I98" s="618"/>
      <c r="J98" s="619" t="s">
        <v>891</v>
      </c>
      <c r="K98" s="618"/>
      <c r="L98" s="619">
        <v>25</v>
      </c>
      <c r="M98" s="620">
        <v>25</v>
      </c>
      <c r="N98" s="619"/>
      <c r="O98" s="619">
        <v>2</v>
      </c>
      <c r="P98" s="619" t="s">
        <v>760</v>
      </c>
      <c r="Q98" s="618"/>
      <c r="R98" s="618"/>
      <c r="S98" s="621"/>
    </row>
    <row r="99" spans="1:19">
      <c r="A99" s="630">
        <v>3230000</v>
      </c>
      <c r="B99" s="623"/>
      <c r="C99" s="623"/>
      <c r="D99" s="623" t="s">
        <v>848</v>
      </c>
      <c r="E99" s="627" t="s">
        <v>50</v>
      </c>
      <c r="F99" s="631" t="s">
        <v>893</v>
      </c>
      <c r="G99" s="632"/>
      <c r="H99" s="633">
        <v>3230</v>
      </c>
      <c r="I99" s="618"/>
      <c r="J99" s="619" t="s">
        <v>50</v>
      </c>
      <c r="K99" s="618"/>
      <c r="L99" s="619">
        <v>20</v>
      </c>
      <c r="M99" s="620">
        <v>21</v>
      </c>
      <c r="N99" s="619"/>
      <c r="O99" s="619">
        <v>2</v>
      </c>
      <c r="P99" s="619" t="s">
        <v>760</v>
      </c>
      <c r="Q99" s="618"/>
      <c r="R99" s="618"/>
      <c r="S99" s="621"/>
    </row>
    <row r="100" spans="1:19">
      <c r="A100" s="630">
        <v>3240000</v>
      </c>
      <c r="B100" s="623"/>
      <c r="C100" s="623"/>
      <c r="D100" s="623" t="s">
        <v>851</v>
      </c>
      <c r="E100" s="627" t="s">
        <v>894</v>
      </c>
      <c r="F100" s="631" t="s">
        <v>895</v>
      </c>
      <c r="G100" s="632"/>
      <c r="H100" s="633">
        <v>3240</v>
      </c>
      <c r="I100" s="618"/>
      <c r="J100" s="619" t="s">
        <v>894</v>
      </c>
      <c r="K100" s="618"/>
      <c r="L100" s="619">
        <v>22</v>
      </c>
      <c r="M100" s="620">
        <v>23</v>
      </c>
      <c r="N100" s="619"/>
      <c r="O100" s="619">
        <v>2</v>
      </c>
      <c r="P100" s="619" t="s">
        <v>760</v>
      </c>
      <c r="Q100" s="618"/>
      <c r="R100" s="618"/>
      <c r="S100" s="621"/>
    </row>
    <row r="101" spans="1:19">
      <c r="A101" s="630">
        <v>3250000</v>
      </c>
      <c r="B101" s="623"/>
      <c r="C101" s="623"/>
      <c r="D101" s="623" t="s">
        <v>854</v>
      </c>
      <c r="E101" s="627" t="s">
        <v>896</v>
      </c>
      <c r="F101" s="631" t="s">
        <v>897</v>
      </c>
      <c r="G101" s="632"/>
      <c r="H101" s="633">
        <v>3250</v>
      </c>
      <c r="I101" s="618"/>
      <c r="J101" s="619" t="s">
        <v>896</v>
      </c>
      <c r="K101" s="618"/>
      <c r="L101" s="619">
        <v>25</v>
      </c>
      <c r="M101" s="620">
        <v>25</v>
      </c>
      <c r="N101" s="619"/>
      <c r="O101" s="619">
        <v>2</v>
      </c>
      <c r="P101" s="619" t="s">
        <v>760</v>
      </c>
      <c r="Q101" s="618"/>
      <c r="R101" s="618"/>
      <c r="S101" s="621"/>
    </row>
    <row r="102" spans="1:19">
      <c r="A102" s="630">
        <v>3255000</v>
      </c>
      <c r="B102" s="623"/>
      <c r="C102" s="623"/>
      <c r="D102" s="623" t="s">
        <v>857</v>
      </c>
      <c r="E102" s="627" t="s">
        <v>898</v>
      </c>
      <c r="F102" s="631" t="s">
        <v>899</v>
      </c>
      <c r="G102" s="632"/>
      <c r="H102" s="633">
        <v>3255</v>
      </c>
      <c r="I102" s="618"/>
      <c r="J102" s="619" t="s">
        <v>898</v>
      </c>
      <c r="K102" s="618"/>
      <c r="L102" s="619">
        <v>25</v>
      </c>
      <c r="M102" s="620">
        <v>25</v>
      </c>
      <c r="N102" s="619"/>
      <c r="O102" s="619">
        <v>2</v>
      </c>
      <c r="P102" s="619" t="s">
        <v>760</v>
      </c>
      <c r="Q102" s="618"/>
      <c r="R102" s="618"/>
      <c r="S102" s="621"/>
    </row>
    <row r="103" spans="1:19">
      <c r="A103" s="630">
        <v>3290000</v>
      </c>
      <c r="B103" s="623"/>
      <c r="C103" s="623"/>
      <c r="D103" s="623" t="s">
        <v>860</v>
      </c>
      <c r="E103" s="627" t="s">
        <v>900</v>
      </c>
      <c r="F103" s="631" t="s">
        <v>901</v>
      </c>
      <c r="G103" s="632"/>
      <c r="H103" s="633">
        <v>3290</v>
      </c>
      <c r="I103" s="618"/>
      <c r="J103" s="619" t="s">
        <v>900</v>
      </c>
      <c r="K103" s="618"/>
      <c r="L103" s="619">
        <v>25</v>
      </c>
      <c r="M103" s="620">
        <v>25</v>
      </c>
      <c r="N103" s="619"/>
      <c r="O103" s="619">
        <v>2</v>
      </c>
      <c r="P103" s="619" t="s">
        <v>760</v>
      </c>
      <c r="Q103" s="618"/>
      <c r="R103" s="618"/>
      <c r="S103" s="621"/>
    </row>
    <row r="104" spans="1:19">
      <c r="A104" s="630">
        <v>0</v>
      </c>
      <c r="B104" s="623"/>
      <c r="C104" s="629">
        <v>12</v>
      </c>
      <c r="D104" s="774" t="s">
        <v>902</v>
      </c>
      <c r="E104" s="775"/>
      <c r="F104" s="626"/>
      <c r="G104" s="623"/>
      <c r="H104" s="627"/>
      <c r="I104" s="618"/>
      <c r="J104" s="619" t="s">
        <v>902</v>
      </c>
      <c r="K104" s="618"/>
      <c r="L104" s="618"/>
      <c r="M104" s="618"/>
      <c r="N104" s="618"/>
      <c r="O104" s="618"/>
      <c r="P104" s="618"/>
      <c r="Q104" s="618"/>
      <c r="R104" s="618"/>
      <c r="S104" s="621"/>
    </row>
    <row r="105" spans="1:19">
      <c r="A105" s="630">
        <v>0</v>
      </c>
      <c r="B105" s="623"/>
      <c r="C105" s="623"/>
      <c r="D105" s="623" t="s">
        <v>756</v>
      </c>
      <c r="E105" s="627" t="s">
        <v>903</v>
      </c>
      <c r="F105" s="626"/>
      <c r="G105" s="623"/>
      <c r="H105" s="627"/>
      <c r="I105" s="618"/>
      <c r="J105" s="619" t="s">
        <v>903</v>
      </c>
      <c r="K105" s="618"/>
      <c r="L105" s="618"/>
      <c r="M105" s="618"/>
      <c r="N105" s="618"/>
      <c r="O105" s="618"/>
      <c r="P105" s="618"/>
      <c r="Q105" s="618"/>
      <c r="R105" s="618"/>
      <c r="S105" s="621"/>
    </row>
    <row r="106" spans="1:19">
      <c r="A106" s="630">
        <v>3810000</v>
      </c>
      <c r="B106" s="623"/>
      <c r="C106" s="623"/>
      <c r="D106" s="623"/>
      <c r="E106" s="627" t="s">
        <v>758</v>
      </c>
      <c r="F106" s="631" t="s">
        <v>904</v>
      </c>
      <c r="G106" s="632"/>
      <c r="H106" s="633">
        <v>3810</v>
      </c>
      <c r="I106" s="618"/>
      <c r="J106" s="619" t="s">
        <v>758</v>
      </c>
      <c r="K106" s="618"/>
      <c r="L106" s="619">
        <v>25</v>
      </c>
      <c r="M106" s="620">
        <v>25</v>
      </c>
      <c r="N106" s="619"/>
      <c r="O106" s="619">
        <v>2</v>
      </c>
      <c r="P106" s="619" t="s">
        <v>760</v>
      </c>
      <c r="Q106" s="618"/>
      <c r="R106" s="618"/>
      <c r="S106" s="621"/>
    </row>
    <row r="107" spans="1:19">
      <c r="A107" s="630">
        <v>3815000</v>
      </c>
      <c r="B107" s="623"/>
      <c r="C107" s="623"/>
      <c r="D107" s="623"/>
      <c r="E107" s="627" t="s">
        <v>905</v>
      </c>
      <c r="F107" s="631" t="s">
        <v>906</v>
      </c>
      <c r="G107" s="632"/>
      <c r="H107" s="633">
        <v>3815</v>
      </c>
      <c r="I107" s="618"/>
      <c r="J107" s="619" t="s">
        <v>905</v>
      </c>
      <c r="K107" s="618"/>
      <c r="L107" s="619">
        <v>25</v>
      </c>
      <c r="M107" s="620">
        <v>25</v>
      </c>
      <c r="N107" s="619"/>
      <c r="O107" s="619">
        <v>2</v>
      </c>
      <c r="P107" s="619" t="s">
        <v>760</v>
      </c>
      <c r="Q107" s="618"/>
      <c r="R107" s="618"/>
      <c r="S107" s="621"/>
    </row>
    <row r="108" spans="1:19">
      <c r="A108" s="630">
        <v>3820000</v>
      </c>
      <c r="B108" s="623"/>
      <c r="C108" s="623"/>
      <c r="D108" s="623"/>
      <c r="E108" s="627" t="s">
        <v>907</v>
      </c>
      <c r="F108" s="631" t="s">
        <v>908</v>
      </c>
      <c r="G108" s="632"/>
      <c r="H108" s="633">
        <v>3820</v>
      </c>
      <c r="I108" s="618"/>
      <c r="J108" s="619" t="s">
        <v>907</v>
      </c>
      <c r="K108" s="618"/>
      <c r="L108" s="619">
        <v>25</v>
      </c>
      <c r="M108" s="620">
        <v>25</v>
      </c>
      <c r="N108" s="619"/>
      <c r="O108" s="619">
        <v>2</v>
      </c>
      <c r="P108" s="619" t="s">
        <v>760</v>
      </c>
      <c r="Q108" s="618"/>
      <c r="R108" s="618"/>
      <c r="S108" s="621"/>
    </row>
    <row r="109" spans="1:19">
      <c r="A109" s="630">
        <v>3890000</v>
      </c>
      <c r="B109" s="623"/>
      <c r="C109" s="623"/>
      <c r="D109" s="623" t="s">
        <v>775</v>
      </c>
      <c r="E109" s="627" t="s">
        <v>909</v>
      </c>
      <c r="F109" s="631" t="s">
        <v>910</v>
      </c>
      <c r="G109" s="632"/>
      <c r="H109" s="633">
        <v>3890</v>
      </c>
      <c r="I109" s="618"/>
      <c r="J109" s="619" t="s">
        <v>909</v>
      </c>
      <c r="K109" s="618"/>
      <c r="L109" s="619">
        <v>25</v>
      </c>
      <c r="M109" s="620">
        <v>25</v>
      </c>
      <c r="N109" s="619"/>
      <c r="O109" s="619">
        <v>2</v>
      </c>
      <c r="P109" s="619" t="s">
        <v>760</v>
      </c>
      <c r="Q109" s="618"/>
      <c r="R109" s="618"/>
      <c r="S109" s="621"/>
    </row>
    <row r="110" spans="1:19">
      <c r="A110" s="630">
        <v>0</v>
      </c>
      <c r="B110" s="623"/>
      <c r="C110" s="629">
        <v>13</v>
      </c>
      <c r="D110" s="774" t="s">
        <v>911</v>
      </c>
      <c r="E110" s="775"/>
      <c r="F110" s="626"/>
      <c r="G110" s="623"/>
      <c r="H110" s="627"/>
      <c r="I110" s="618"/>
      <c r="J110" s="619" t="s">
        <v>911</v>
      </c>
      <c r="K110" s="618"/>
      <c r="L110" s="618"/>
      <c r="M110" s="618"/>
      <c r="N110" s="618"/>
      <c r="O110" s="618"/>
      <c r="P110" s="618"/>
      <c r="Q110" s="618"/>
      <c r="R110" s="618"/>
      <c r="S110" s="621"/>
    </row>
    <row r="111" spans="1:19">
      <c r="A111" s="630">
        <v>0</v>
      </c>
      <c r="B111" s="623"/>
      <c r="C111" s="623"/>
      <c r="D111" s="623" t="s">
        <v>756</v>
      </c>
      <c r="E111" s="627" t="s">
        <v>912</v>
      </c>
      <c r="F111" s="626"/>
      <c r="G111" s="623"/>
      <c r="H111" s="627"/>
      <c r="I111" s="618"/>
      <c r="J111" s="619" t="s">
        <v>912</v>
      </c>
      <c r="K111" s="618"/>
      <c r="L111" s="618"/>
      <c r="M111" s="618"/>
      <c r="N111" s="618"/>
      <c r="O111" s="618"/>
      <c r="P111" s="618"/>
      <c r="Q111" s="618"/>
      <c r="R111" s="618"/>
      <c r="S111" s="621"/>
    </row>
    <row r="112" spans="1:19">
      <c r="A112" s="630">
        <v>3910000</v>
      </c>
      <c r="B112" s="623"/>
      <c r="C112" s="623"/>
      <c r="D112" s="623"/>
      <c r="E112" s="627" t="s">
        <v>913</v>
      </c>
      <c r="F112" s="631" t="s">
        <v>914</v>
      </c>
      <c r="G112" s="632"/>
      <c r="H112" s="633">
        <v>3910</v>
      </c>
      <c r="I112" s="618"/>
      <c r="J112" s="619" t="s">
        <v>913</v>
      </c>
      <c r="K112" s="618"/>
      <c r="L112" s="619">
        <v>25</v>
      </c>
      <c r="M112" s="620">
        <v>25</v>
      </c>
      <c r="N112" s="619"/>
      <c r="O112" s="619">
        <v>2</v>
      </c>
      <c r="P112" s="619" t="s">
        <v>760</v>
      </c>
      <c r="Q112" s="618"/>
      <c r="R112" s="618"/>
      <c r="S112" s="621"/>
    </row>
    <row r="113" spans="1:19" ht="16" thickBot="1">
      <c r="A113" s="630">
        <v>3990000</v>
      </c>
      <c r="B113" s="623"/>
      <c r="C113" s="623"/>
      <c r="D113" s="623" t="s">
        <v>775</v>
      </c>
      <c r="E113" s="627" t="s">
        <v>915</v>
      </c>
      <c r="F113" s="631" t="s">
        <v>916</v>
      </c>
      <c r="G113" s="632"/>
      <c r="H113" s="633">
        <v>3990</v>
      </c>
      <c r="I113" s="618"/>
      <c r="J113" s="619" t="s">
        <v>915</v>
      </c>
      <c r="K113" s="618"/>
      <c r="L113" s="619">
        <v>25</v>
      </c>
      <c r="M113" s="620">
        <v>25</v>
      </c>
      <c r="N113" s="619"/>
      <c r="O113" s="619">
        <v>2</v>
      </c>
      <c r="P113" s="619" t="s">
        <v>760</v>
      </c>
      <c r="Q113" s="618"/>
      <c r="R113" s="618"/>
      <c r="S113" s="621"/>
    </row>
    <row r="114" spans="1:19" ht="16.5" thickTop="1" thickBot="1">
      <c r="A114" s="622"/>
      <c r="B114" s="781" t="s">
        <v>917</v>
      </c>
      <c r="C114" s="773"/>
      <c r="D114" s="773"/>
      <c r="E114" s="782"/>
      <c r="F114" s="656" t="s">
        <v>646</v>
      </c>
      <c r="G114" s="657"/>
      <c r="H114" s="658"/>
      <c r="I114" s="618"/>
      <c r="J114" s="618"/>
      <c r="K114" s="618"/>
      <c r="L114" s="618"/>
      <c r="M114" s="618"/>
      <c r="N114" s="618"/>
      <c r="O114" s="618"/>
      <c r="P114" s="618"/>
      <c r="Q114" s="618"/>
      <c r="R114" s="618"/>
      <c r="S114" s="621"/>
    </row>
    <row r="115" spans="1:19" ht="16" thickTop="1">
      <c r="A115" s="622"/>
      <c r="B115" s="624"/>
      <c r="C115" s="623"/>
      <c r="D115" s="623"/>
      <c r="E115" s="627"/>
      <c r="F115" s="626"/>
      <c r="G115" s="623"/>
      <c r="H115" s="627"/>
      <c r="I115" s="618"/>
      <c r="J115" s="618"/>
      <c r="K115" s="618"/>
      <c r="L115" s="618"/>
      <c r="M115" s="618"/>
      <c r="N115" s="618"/>
      <c r="O115" s="618"/>
      <c r="P115" s="618"/>
      <c r="Q115" s="618"/>
      <c r="R115" s="618"/>
      <c r="S115" s="621"/>
    </row>
    <row r="116" spans="1:19">
      <c r="A116" s="622"/>
      <c r="B116" s="628" t="s">
        <v>918</v>
      </c>
      <c r="C116" s="770" t="s">
        <v>52</v>
      </c>
      <c r="D116" s="771"/>
      <c r="E116" s="775"/>
      <c r="F116" s="626"/>
      <c r="G116" s="623"/>
      <c r="H116" s="627"/>
      <c r="I116" s="618"/>
      <c r="J116" s="618"/>
      <c r="K116" s="618"/>
      <c r="L116" s="618"/>
      <c r="M116" s="618"/>
      <c r="N116" s="618"/>
      <c r="O116" s="618"/>
      <c r="P116" s="618"/>
      <c r="Q116" s="618"/>
      <c r="R116" s="618"/>
      <c r="S116" s="621"/>
    </row>
    <row r="117" spans="1:19">
      <c r="A117" s="622"/>
      <c r="B117" s="623"/>
      <c r="C117" s="629">
        <v>14</v>
      </c>
      <c r="D117" s="774" t="s">
        <v>919</v>
      </c>
      <c r="E117" s="775"/>
      <c r="F117" s="626"/>
      <c r="G117" s="623"/>
      <c r="H117" s="627"/>
      <c r="I117" s="618"/>
      <c r="J117" s="618"/>
      <c r="K117" s="618"/>
      <c r="L117" s="618"/>
      <c r="M117" s="618"/>
      <c r="N117" s="618"/>
      <c r="O117" s="618"/>
      <c r="P117" s="618"/>
      <c r="Q117" s="618"/>
      <c r="R117" s="618"/>
      <c r="S117" s="621"/>
    </row>
    <row r="118" spans="1:19">
      <c r="A118" s="630">
        <v>0</v>
      </c>
      <c r="B118" s="623"/>
      <c r="C118" s="623"/>
      <c r="D118" s="774" t="s">
        <v>920</v>
      </c>
      <c r="E118" s="775"/>
      <c r="F118" s="626"/>
      <c r="G118" s="623"/>
      <c r="H118" s="627"/>
      <c r="I118" s="618"/>
      <c r="J118" s="619" t="s">
        <v>920</v>
      </c>
      <c r="K118" s="618"/>
      <c r="L118" s="618"/>
      <c r="M118" s="618"/>
      <c r="N118" s="618"/>
      <c r="O118" s="618"/>
      <c r="P118" s="618"/>
      <c r="Q118" s="618"/>
      <c r="R118" s="618"/>
      <c r="S118" s="621"/>
    </row>
    <row r="119" spans="1:19">
      <c r="A119" s="630">
        <v>4110000</v>
      </c>
      <c r="B119" s="623"/>
      <c r="C119" s="623"/>
      <c r="D119" s="623" t="s">
        <v>756</v>
      </c>
      <c r="E119" s="627" t="s">
        <v>921</v>
      </c>
      <c r="F119" s="631" t="s">
        <v>922</v>
      </c>
      <c r="G119" s="632"/>
      <c r="H119" s="633">
        <v>4110</v>
      </c>
      <c r="I119" s="618"/>
      <c r="J119" s="619" t="s">
        <v>921</v>
      </c>
      <c r="K119" s="618"/>
      <c r="L119" s="619">
        <v>66</v>
      </c>
      <c r="M119" s="620">
        <v>34</v>
      </c>
      <c r="N119" s="619"/>
      <c r="O119" s="619">
        <v>5</v>
      </c>
      <c r="P119" s="619" t="s">
        <v>760</v>
      </c>
      <c r="Q119" s="618"/>
      <c r="R119" s="618"/>
      <c r="S119" s="621"/>
    </row>
    <row r="120" spans="1:19">
      <c r="A120" s="622"/>
      <c r="B120" s="623"/>
      <c r="C120" s="623"/>
      <c r="D120" s="623" t="s">
        <v>775</v>
      </c>
      <c r="E120" s="627" t="s">
        <v>120</v>
      </c>
      <c r="F120" s="631" t="s">
        <v>923</v>
      </c>
      <c r="G120" s="632"/>
      <c r="H120" s="633">
        <v>4190</v>
      </c>
      <c r="I120" s="618"/>
      <c r="J120" s="618"/>
      <c r="K120" s="618"/>
      <c r="L120" s="619">
        <v>34</v>
      </c>
      <c r="M120" s="620">
        <v>35</v>
      </c>
      <c r="N120" s="619"/>
      <c r="O120" s="619">
        <v>5</v>
      </c>
      <c r="P120" s="619" t="s">
        <v>760</v>
      </c>
      <c r="Q120" s="618"/>
      <c r="R120" s="618"/>
      <c r="S120" s="621"/>
    </row>
    <row r="121" spans="1:19">
      <c r="A121" s="622"/>
      <c r="B121" s="623"/>
      <c r="C121" s="629">
        <v>15</v>
      </c>
      <c r="D121" s="774" t="s">
        <v>924</v>
      </c>
      <c r="E121" s="775"/>
      <c r="F121" s="626"/>
      <c r="G121" s="623"/>
      <c r="H121" s="627"/>
      <c r="I121" s="618"/>
      <c r="J121" s="618"/>
      <c r="K121" s="618"/>
      <c r="L121" s="618"/>
      <c r="M121" s="618"/>
      <c r="N121" s="618"/>
      <c r="O121" s="618"/>
      <c r="P121" s="618"/>
      <c r="Q121" s="618"/>
      <c r="R121" s="618"/>
      <c r="S121" s="621"/>
    </row>
    <row r="122" spans="1:19">
      <c r="A122" s="630">
        <v>4200000</v>
      </c>
      <c r="B122" s="623"/>
      <c r="C122" s="623"/>
      <c r="D122" s="774" t="s">
        <v>925</v>
      </c>
      <c r="E122" s="775"/>
      <c r="F122" s="631" t="s">
        <v>926</v>
      </c>
      <c r="G122" s="632"/>
      <c r="H122" s="633">
        <v>4200</v>
      </c>
      <c r="I122" s="618"/>
      <c r="J122" s="619" t="s">
        <v>925</v>
      </c>
      <c r="K122" s="618"/>
      <c r="L122" s="619">
        <v>66</v>
      </c>
      <c r="M122" s="620">
        <v>57</v>
      </c>
      <c r="N122" s="619"/>
      <c r="O122" s="619">
        <v>5</v>
      </c>
      <c r="P122" s="619" t="s">
        <v>760</v>
      </c>
      <c r="Q122" s="618"/>
      <c r="R122" s="618"/>
      <c r="S122" s="621"/>
    </row>
    <row r="123" spans="1:19">
      <c r="A123" s="622"/>
      <c r="B123" s="623"/>
      <c r="C123" s="629">
        <v>16</v>
      </c>
      <c r="D123" s="774" t="s">
        <v>927</v>
      </c>
      <c r="E123" s="775"/>
      <c r="F123" s="626"/>
      <c r="G123" s="623"/>
      <c r="H123" s="627"/>
      <c r="I123" s="618"/>
      <c r="J123" s="618"/>
      <c r="K123" s="618"/>
      <c r="L123" s="618"/>
      <c r="M123" s="618"/>
      <c r="N123" s="618"/>
      <c r="O123" s="618"/>
      <c r="P123" s="618"/>
      <c r="Q123" s="618"/>
      <c r="R123" s="618"/>
      <c r="S123" s="621"/>
    </row>
    <row r="124" spans="1:19">
      <c r="A124" s="622"/>
      <c r="B124" s="623"/>
      <c r="C124" s="623"/>
      <c r="D124" s="774" t="s">
        <v>920</v>
      </c>
      <c r="E124" s="775"/>
      <c r="F124" s="626"/>
      <c r="G124" s="623"/>
      <c r="H124" s="627"/>
      <c r="I124" s="618"/>
      <c r="J124" s="618"/>
      <c r="K124" s="618"/>
      <c r="L124" s="618"/>
      <c r="M124" s="618"/>
      <c r="N124" s="618"/>
      <c r="O124" s="618"/>
      <c r="P124" s="618"/>
      <c r="Q124" s="618"/>
      <c r="R124" s="618"/>
      <c r="S124" s="621"/>
    </row>
    <row r="125" spans="1:19">
      <c r="A125" s="630">
        <v>4310000</v>
      </c>
      <c r="B125" s="623"/>
      <c r="C125" s="623"/>
      <c r="D125" s="623" t="s">
        <v>756</v>
      </c>
      <c r="E125" s="627" t="s">
        <v>928</v>
      </c>
      <c r="F125" s="631" t="s">
        <v>929</v>
      </c>
      <c r="G125" s="632"/>
      <c r="H125" s="633">
        <v>4310</v>
      </c>
      <c r="I125" s="618"/>
      <c r="J125" s="619" t="s">
        <v>928</v>
      </c>
      <c r="K125" s="618"/>
      <c r="L125" s="619">
        <v>66</v>
      </c>
      <c r="M125" s="620">
        <v>57</v>
      </c>
      <c r="N125" s="619"/>
      <c r="O125" s="619">
        <v>5</v>
      </c>
      <c r="P125" s="619" t="s">
        <v>760</v>
      </c>
      <c r="Q125" s="618"/>
      <c r="R125" s="618"/>
      <c r="S125" s="621"/>
    </row>
    <row r="126" spans="1:19">
      <c r="A126" s="630">
        <v>4330000</v>
      </c>
      <c r="B126" s="623"/>
      <c r="C126" s="623"/>
      <c r="D126" s="623" t="s">
        <v>775</v>
      </c>
      <c r="E126" s="627" t="s">
        <v>930</v>
      </c>
      <c r="F126" s="631" t="s">
        <v>931</v>
      </c>
      <c r="G126" s="632"/>
      <c r="H126" s="633">
        <v>4330</v>
      </c>
      <c r="I126" s="618"/>
      <c r="J126" s="619" t="s">
        <v>930</v>
      </c>
      <c r="K126" s="618"/>
      <c r="L126" s="619">
        <v>66</v>
      </c>
      <c r="M126" s="620">
        <v>37</v>
      </c>
      <c r="N126" s="619"/>
      <c r="O126" s="619">
        <v>5</v>
      </c>
      <c r="P126" s="619" t="s">
        <v>760</v>
      </c>
      <c r="Q126" s="618"/>
      <c r="R126" s="618"/>
      <c r="S126" s="621"/>
    </row>
    <row r="127" spans="1:19">
      <c r="A127" s="630">
        <v>4340000</v>
      </c>
      <c r="B127" s="623"/>
      <c r="C127" s="623"/>
      <c r="D127" s="623" t="s">
        <v>799</v>
      </c>
      <c r="E127" s="627" t="s">
        <v>932</v>
      </c>
      <c r="F127" s="631" t="s">
        <v>933</v>
      </c>
      <c r="G127" s="632"/>
      <c r="H127" s="633">
        <v>4340</v>
      </c>
      <c r="I127" s="618"/>
      <c r="J127" s="619" t="s">
        <v>932</v>
      </c>
      <c r="K127" s="618"/>
      <c r="L127" s="619">
        <v>66</v>
      </c>
      <c r="M127" s="620">
        <v>57</v>
      </c>
      <c r="N127" s="619"/>
      <c r="O127" s="619">
        <v>5</v>
      </c>
      <c r="P127" s="619" t="s">
        <v>760</v>
      </c>
      <c r="Q127" s="618"/>
      <c r="R127" s="618"/>
      <c r="S127" s="621"/>
    </row>
    <row r="128" spans="1:19">
      <c r="A128" s="630">
        <v>4390000</v>
      </c>
      <c r="B128" s="623"/>
      <c r="C128" s="623"/>
      <c r="D128" s="623" t="s">
        <v>803</v>
      </c>
      <c r="E128" s="627" t="s">
        <v>55</v>
      </c>
      <c r="F128" s="631" t="s">
        <v>934</v>
      </c>
      <c r="G128" s="632"/>
      <c r="H128" s="633">
        <v>4390</v>
      </c>
      <c r="I128" s="618"/>
      <c r="J128" s="619" t="s">
        <v>55</v>
      </c>
      <c r="K128" s="618"/>
      <c r="L128" s="619">
        <v>37</v>
      </c>
      <c r="M128" s="620">
        <v>38</v>
      </c>
      <c r="N128" s="619"/>
      <c r="O128" s="619">
        <v>5</v>
      </c>
      <c r="P128" s="619" t="s">
        <v>760</v>
      </c>
      <c r="Q128" s="618"/>
      <c r="R128" s="618"/>
      <c r="S128" s="621"/>
    </row>
    <row r="129" spans="1:19">
      <c r="A129" s="622"/>
      <c r="B129" s="623"/>
      <c r="C129" s="629">
        <v>17</v>
      </c>
      <c r="D129" s="774" t="s">
        <v>935</v>
      </c>
      <c r="E129" s="775"/>
      <c r="F129" s="626"/>
      <c r="G129" s="623"/>
      <c r="H129" s="627"/>
      <c r="I129" s="618"/>
      <c r="J129" s="618"/>
      <c r="K129" s="618"/>
      <c r="L129" s="618"/>
      <c r="M129" s="618"/>
      <c r="N129" s="618"/>
      <c r="O129" s="618"/>
      <c r="P129" s="618"/>
      <c r="Q129" s="618"/>
      <c r="R129" s="618"/>
      <c r="S129" s="621"/>
    </row>
    <row r="130" spans="1:19">
      <c r="A130" s="622"/>
      <c r="B130" s="623"/>
      <c r="C130" s="623"/>
      <c r="D130" s="774" t="s">
        <v>925</v>
      </c>
      <c r="E130" s="775"/>
      <c r="F130" s="626"/>
      <c r="G130" s="623"/>
      <c r="H130" s="627"/>
      <c r="I130" s="618"/>
      <c r="J130" s="618"/>
      <c r="K130" s="618"/>
      <c r="L130" s="618"/>
      <c r="M130" s="618"/>
      <c r="N130" s="618"/>
      <c r="O130" s="618"/>
      <c r="P130" s="618"/>
      <c r="Q130" s="618"/>
      <c r="R130" s="618"/>
      <c r="S130" s="621"/>
    </row>
    <row r="131" spans="1:19">
      <c r="A131" s="630">
        <v>4510000</v>
      </c>
      <c r="B131" s="623"/>
      <c r="C131" s="623"/>
      <c r="D131" s="623" t="s">
        <v>756</v>
      </c>
      <c r="E131" s="627" t="s">
        <v>936</v>
      </c>
      <c r="F131" s="631" t="s">
        <v>937</v>
      </c>
      <c r="G131" s="632"/>
      <c r="H131" s="633">
        <v>4510</v>
      </c>
      <c r="I131" s="618"/>
      <c r="J131" s="619" t="s">
        <v>936</v>
      </c>
      <c r="K131" s="618"/>
      <c r="L131" s="619">
        <v>40</v>
      </c>
      <c r="M131" s="620">
        <v>40</v>
      </c>
      <c r="N131" s="619"/>
      <c r="O131" s="619">
        <v>5</v>
      </c>
      <c r="P131" s="619" t="s">
        <v>760</v>
      </c>
      <c r="Q131" s="618"/>
      <c r="R131" s="618"/>
      <c r="S131" s="621"/>
    </row>
    <row r="132" spans="1:19">
      <c r="A132" s="630">
        <v>4515000</v>
      </c>
      <c r="B132" s="623"/>
      <c r="C132" s="623"/>
      <c r="D132" s="623" t="s">
        <v>775</v>
      </c>
      <c r="E132" s="627" t="s">
        <v>3</v>
      </c>
      <c r="F132" s="631" t="s">
        <v>938</v>
      </c>
      <c r="G132" s="632"/>
      <c r="H132" s="633">
        <v>4515</v>
      </c>
      <c r="I132" s="618"/>
      <c r="J132" s="619" t="s">
        <v>3</v>
      </c>
      <c r="K132" s="618"/>
      <c r="L132" s="619">
        <v>41</v>
      </c>
      <c r="M132" s="620">
        <v>41</v>
      </c>
      <c r="N132" s="619"/>
      <c r="O132" s="619">
        <v>5</v>
      </c>
      <c r="P132" s="619" t="s">
        <v>760</v>
      </c>
      <c r="Q132" s="618"/>
      <c r="R132" s="618"/>
      <c r="S132" s="621"/>
    </row>
    <row r="133" spans="1:19">
      <c r="A133" s="630">
        <v>4520000</v>
      </c>
      <c r="B133" s="623"/>
      <c r="C133" s="623"/>
      <c r="D133" s="623" t="s">
        <v>799</v>
      </c>
      <c r="E133" s="627" t="s">
        <v>939</v>
      </c>
      <c r="F133" s="631" t="s">
        <v>940</v>
      </c>
      <c r="G133" s="632"/>
      <c r="H133" s="633">
        <v>4520</v>
      </c>
      <c r="I133" s="618"/>
      <c r="J133" s="619" t="s">
        <v>939</v>
      </c>
      <c r="K133" s="618"/>
      <c r="L133" s="619">
        <v>66</v>
      </c>
      <c r="M133" s="620">
        <v>57</v>
      </c>
      <c r="N133" s="619"/>
      <c r="O133" s="619">
        <v>5</v>
      </c>
      <c r="P133" s="619" t="s">
        <v>760</v>
      </c>
      <c r="Q133" s="618"/>
      <c r="R133" s="618"/>
      <c r="S133" s="621"/>
    </row>
    <row r="134" spans="1:19">
      <c r="A134" s="622"/>
      <c r="B134" s="623"/>
      <c r="C134" s="623"/>
      <c r="D134" s="623" t="s">
        <v>803</v>
      </c>
      <c r="E134" s="627" t="s">
        <v>4</v>
      </c>
      <c r="F134" s="626"/>
      <c r="G134" s="623"/>
      <c r="H134" s="627"/>
      <c r="I134" s="618"/>
      <c r="J134" s="618"/>
      <c r="K134" s="618"/>
      <c r="L134" s="618"/>
      <c r="M134" s="618"/>
      <c r="N134" s="618"/>
      <c r="O134" s="618"/>
      <c r="P134" s="618"/>
      <c r="Q134" s="618"/>
      <c r="R134" s="618"/>
      <c r="S134" s="621"/>
    </row>
    <row r="135" spans="1:19">
      <c r="A135" s="630">
        <v>4531000</v>
      </c>
      <c r="B135" s="623"/>
      <c r="C135" s="623"/>
      <c r="D135" s="623"/>
      <c r="E135" s="627" t="s">
        <v>941</v>
      </c>
      <c r="F135" s="631" t="s">
        <v>942</v>
      </c>
      <c r="G135" s="632"/>
      <c r="H135" s="633">
        <v>4531</v>
      </c>
      <c r="I135" s="618"/>
      <c r="J135" s="619" t="s">
        <v>941</v>
      </c>
      <c r="K135" s="618"/>
      <c r="L135" s="619">
        <v>43</v>
      </c>
      <c r="M135" s="620">
        <v>43</v>
      </c>
      <c r="N135" s="619"/>
      <c r="O135" s="619">
        <v>5</v>
      </c>
      <c r="P135" s="619" t="s">
        <v>760</v>
      </c>
      <c r="Q135" s="618"/>
      <c r="R135" s="618"/>
      <c r="S135" s="621"/>
    </row>
    <row r="136" spans="1:19">
      <c r="A136" s="630">
        <v>4532000</v>
      </c>
      <c r="B136" s="623"/>
      <c r="C136" s="623"/>
      <c r="D136" s="623"/>
      <c r="E136" s="627" t="s">
        <v>943</v>
      </c>
      <c r="F136" s="631" t="s">
        <v>944</v>
      </c>
      <c r="G136" s="632"/>
      <c r="H136" s="633">
        <v>4532</v>
      </c>
      <c r="I136" s="618"/>
      <c r="J136" s="619" t="s">
        <v>943</v>
      </c>
      <c r="K136" s="618"/>
      <c r="L136" s="619">
        <v>44</v>
      </c>
      <c r="M136" s="620">
        <v>44</v>
      </c>
      <c r="N136" s="619"/>
      <c r="O136" s="619">
        <v>5</v>
      </c>
      <c r="P136" s="619" t="s">
        <v>760</v>
      </c>
      <c r="Q136" s="618"/>
      <c r="R136" s="618"/>
      <c r="S136" s="621"/>
    </row>
    <row r="137" spans="1:19">
      <c r="A137" s="630">
        <v>4534000</v>
      </c>
      <c r="B137" s="623"/>
      <c r="C137" s="623"/>
      <c r="D137" s="623"/>
      <c r="E137" s="627" t="s">
        <v>945</v>
      </c>
      <c r="F137" s="631" t="s">
        <v>946</v>
      </c>
      <c r="G137" s="632"/>
      <c r="H137" s="633">
        <v>4534</v>
      </c>
      <c r="I137" s="618"/>
      <c r="J137" s="619" t="s">
        <v>945</v>
      </c>
      <c r="K137" s="618"/>
      <c r="L137" s="619">
        <v>66</v>
      </c>
      <c r="M137" s="620">
        <v>57</v>
      </c>
      <c r="N137" s="619"/>
      <c r="O137" s="619">
        <v>5</v>
      </c>
      <c r="P137" s="619" t="s">
        <v>760</v>
      </c>
      <c r="Q137" s="618"/>
      <c r="R137" s="618"/>
      <c r="S137" s="621"/>
    </row>
    <row r="138" spans="1:19">
      <c r="A138" s="630">
        <v>4535000</v>
      </c>
      <c r="B138" s="623"/>
      <c r="C138" s="623"/>
      <c r="D138" s="623"/>
      <c r="E138" s="627" t="s">
        <v>947</v>
      </c>
      <c r="F138" s="631" t="s">
        <v>948</v>
      </c>
      <c r="G138" s="632"/>
      <c r="H138" s="633">
        <v>4535</v>
      </c>
      <c r="I138" s="618"/>
      <c r="J138" s="619" t="s">
        <v>947</v>
      </c>
      <c r="K138" s="618"/>
      <c r="L138" s="619">
        <v>45</v>
      </c>
      <c r="M138" s="620">
        <v>45</v>
      </c>
      <c r="N138" s="619"/>
      <c r="O138" s="619">
        <v>5</v>
      </c>
      <c r="P138" s="619" t="s">
        <v>760</v>
      </c>
      <c r="Q138" s="618"/>
      <c r="R138" s="618"/>
      <c r="S138" s="621"/>
    </row>
    <row r="139" spans="1:19">
      <c r="A139" s="622"/>
      <c r="B139" s="623"/>
      <c r="C139" s="623"/>
      <c r="D139" s="623" t="s">
        <v>848</v>
      </c>
      <c r="E139" s="627" t="s">
        <v>949</v>
      </c>
      <c r="F139" s="626"/>
      <c r="G139" s="623"/>
      <c r="H139" s="627"/>
      <c r="I139" s="618"/>
      <c r="J139" s="618"/>
      <c r="K139" s="618"/>
      <c r="L139" s="618"/>
      <c r="M139" s="618"/>
      <c r="N139" s="618"/>
      <c r="O139" s="618"/>
      <c r="P139" s="618"/>
      <c r="Q139" s="618"/>
      <c r="R139" s="618"/>
      <c r="S139" s="621"/>
    </row>
    <row r="140" spans="1:19">
      <c r="A140" s="630">
        <v>4541000</v>
      </c>
      <c r="B140" s="623"/>
      <c r="C140" s="623"/>
      <c r="D140" s="623"/>
      <c r="E140" s="627" t="s">
        <v>950</v>
      </c>
      <c r="F140" s="631" t="s">
        <v>951</v>
      </c>
      <c r="G140" s="632"/>
      <c r="H140" s="633">
        <v>4541</v>
      </c>
      <c r="I140" s="618"/>
      <c r="J140" s="619" t="s">
        <v>950</v>
      </c>
      <c r="K140" s="618"/>
      <c r="L140" s="619">
        <v>48</v>
      </c>
      <c r="M140" s="620">
        <v>47</v>
      </c>
      <c r="N140" s="619"/>
      <c r="O140" s="619">
        <v>5</v>
      </c>
      <c r="P140" s="619" t="s">
        <v>760</v>
      </c>
      <c r="Q140" s="618"/>
      <c r="R140" s="618"/>
      <c r="S140" s="621"/>
    </row>
    <row r="141" spans="1:19">
      <c r="A141" s="630">
        <v>4542000</v>
      </c>
      <c r="B141" s="623"/>
      <c r="C141" s="623"/>
      <c r="D141" s="623"/>
      <c r="E141" s="627" t="s">
        <v>952</v>
      </c>
      <c r="F141" s="631" t="s">
        <v>953</v>
      </c>
      <c r="G141" s="632"/>
      <c r="H141" s="633">
        <v>4542</v>
      </c>
      <c r="I141" s="618"/>
      <c r="J141" s="619" t="s">
        <v>952</v>
      </c>
      <c r="K141" s="618"/>
      <c r="L141" s="619">
        <v>50</v>
      </c>
      <c r="M141" s="620">
        <v>48</v>
      </c>
      <c r="N141" s="619"/>
      <c r="O141" s="619">
        <v>5</v>
      </c>
      <c r="P141" s="619" t="s">
        <v>760</v>
      </c>
      <c r="Q141" s="618"/>
      <c r="R141" s="618"/>
      <c r="S141" s="621"/>
    </row>
    <row r="142" spans="1:19">
      <c r="A142" s="630">
        <v>4544000</v>
      </c>
      <c r="B142" s="623"/>
      <c r="C142" s="623"/>
      <c r="D142" s="623"/>
      <c r="E142" s="627" t="s">
        <v>954</v>
      </c>
      <c r="F142" s="631" t="s">
        <v>955</v>
      </c>
      <c r="G142" s="632"/>
      <c r="H142" s="633">
        <v>4544</v>
      </c>
      <c r="I142" s="618"/>
      <c r="J142" s="619" t="s">
        <v>954</v>
      </c>
      <c r="K142" s="618"/>
      <c r="L142" s="619">
        <v>51</v>
      </c>
      <c r="M142" s="620">
        <v>51</v>
      </c>
      <c r="N142" s="619"/>
      <c r="O142" s="619">
        <v>5</v>
      </c>
      <c r="P142" s="619" t="s">
        <v>760</v>
      </c>
      <c r="Q142" s="618"/>
      <c r="R142" s="618"/>
      <c r="S142" s="621"/>
    </row>
    <row r="143" spans="1:19">
      <c r="A143" s="630">
        <v>4545000</v>
      </c>
      <c r="B143" s="623"/>
      <c r="C143" s="623"/>
      <c r="D143" s="623"/>
      <c r="E143" s="627" t="s">
        <v>956</v>
      </c>
      <c r="F143" s="631" t="s">
        <v>957</v>
      </c>
      <c r="G143" s="632"/>
      <c r="H143" s="633">
        <v>4545</v>
      </c>
      <c r="I143" s="618"/>
      <c r="J143" s="619" t="s">
        <v>956</v>
      </c>
      <c r="K143" s="618"/>
      <c r="L143" s="619">
        <v>52</v>
      </c>
      <c r="M143" s="620">
        <v>49</v>
      </c>
      <c r="N143" s="619"/>
      <c r="O143" s="619">
        <v>5</v>
      </c>
      <c r="P143" s="619" t="s">
        <v>760</v>
      </c>
      <c r="Q143" s="618"/>
      <c r="R143" s="618"/>
      <c r="S143" s="621"/>
    </row>
    <row r="144" spans="1:19">
      <c r="A144" s="630">
        <v>4547000</v>
      </c>
      <c r="B144" s="623"/>
      <c r="C144" s="623"/>
      <c r="D144" s="623"/>
      <c r="E144" s="627" t="s">
        <v>958</v>
      </c>
      <c r="F144" s="631" t="s">
        <v>959</v>
      </c>
      <c r="G144" s="632"/>
      <c r="H144" s="633">
        <v>4547</v>
      </c>
      <c r="I144" s="618"/>
      <c r="J144" s="619" t="s">
        <v>958</v>
      </c>
      <c r="K144" s="618"/>
      <c r="L144" s="619">
        <v>53</v>
      </c>
      <c r="M144" s="620">
        <v>50</v>
      </c>
      <c r="N144" s="619"/>
      <c r="O144" s="619">
        <v>5</v>
      </c>
      <c r="P144" s="619" t="s">
        <v>760</v>
      </c>
      <c r="Q144" s="618"/>
      <c r="R144" s="618"/>
      <c r="S144" s="621"/>
    </row>
    <row r="145" spans="1:19">
      <c r="A145" s="630">
        <v>4548000</v>
      </c>
      <c r="B145" s="623"/>
      <c r="C145" s="623"/>
      <c r="D145" s="623"/>
      <c r="E145" s="627" t="s">
        <v>960</v>
      </c>
      <c r="F145" s="631" t="s">
        <v>961</v>
      </c>
      <c r="G145" s="632"/>
      <c r="H145" s="633">
        <v>4548</v>
      </c>
      <c r="I145" s="618"/>
      <c r="J145" s="619" t="s">
        <v>960</v>
      </c>
      <c r="K145" s="618"/>
      <c r="L145" s="619">
        <v>51</v>
      </c>
      <c r="M145" s="620">
        <v>51</v>
      </c>
      <c r="N145" s="619"/>
      <c r="O145" s="619">
        <v>5</v>
      </c>
      <c r="P145" s="619" t="s">
        <v>760</v>
      </c>
      <c r="Q145" s="618"/>
      <c r="R145" s="618"/>
      <c r="S145" s="621"/>
    </row>
    <row r="146" spans="1:19">
      <c r="A146" s="630">
        <v>4549000</v>
      </c>
      <c r="B146" s="623"/>
      <c r="C146" s="623"/>
      <c r="D146" s="623"/>
      <c r="E146" s="627" t="s">
        <v>962</v>
      </c>
      <c r="F146" s="631" t="s">
        <v>963</v>
      </c>
      <c r="G146" s="632"/>
      <c r="H146" s="633">
        <v>4549</v>
      </c>
      <c r="I146" s="618"/>
      <c r="J146" s="619" t="s">
        <v>962</v>
      </c>
      <c r="K146" s="618"/>
      <c r="L146" s="619">
        <v>55</v>
      </c>
      <c r="M146" s="620">
        <v>57</v>
      </c>
      <c r="N146" s="619"/>
      <c r="O146" s="619">
        <v>5</v>
      </c>
      <c r="P146" s="619" t="s">
        <v>760</v>
      </c>
      <c r="Q146" s="618"/>
      <c r="R146" s="618"/>
      <c r="S146" s="621"/>
    </row>
    <row r="147" spans="1:19">
      <c r="A147" s="630">
        <v>4550000</v>
      </c>
      <c r="B147" s="623"/>
      <c r="C147" s="623"/>
      <c r="D147" s="623"/>
      <c r="E147" s="627" t="s">
        <v>964</v>
      </c>
      <c r="F147" s="631" t="s">
        <v>965</v>
      </c>
      <c r="G147" s="632"/>
      <c r="H147" s="633">
        <v>4550</v>
      </c>
      <c r="I147" s="618"/>
      <c r="J147" s="619" t="s">
        <v>964</v>
      </c>
      <c r="K147" s="618"/>
      <c r="L147" s="619">
        <v>49</v>
      </c>
      <c r="M147" s="620">
        <v>47</v>
      </c>
      <c r="N147" s="619"/>
      <c r="O147" s="619">
        <v>5</v>
      </c>
      <c r="P147" s="619" t="s">
        <v>760</v>
      </c>
      <c r="Q147" s="618"/>
      <c r="R147" s="618"/>
      <c r="S147" s="621"/>
    </row>
    <row r="148" spans="1:19">
      <c r="A148" s="630">
        <v>4551000</v>
      </c>
      <c r="B148" s="623"/>
      <c r="C148" s="623"/>
      <c r="D148" s="623"/>
      <c r="E148" s="627" t="s">
        <v>966</v>
      </c>
      <c r="F148" s="631" t="s">
        <v>967</v>
      </c>
      <c r="G148" s="632"/>
      <c r="H148" s="633">
        <v>4551</v>
      </c>
      <c r="I148" s="618"/>
      <c r="J148" s="619" t="s">
        <v>966</v>
      </c>
      <c r="K148" s="618"/>
      <c r="L148" s="619">
        <v>52</v>
      </c>
      <c r="M148" s="620">
        <v>49</v>
      </c>
      <c r="N148" s="619"/>
      <c r="O148" s="619">
        <v>5</v>
      </c>
      <c r="P148" s="619" t="s">
        <v>760</v>
      </c>
      <c r="Q148" s="618"/>
      <c r="R148" s="618"/>
      <c r="S148" s="621"/>
    </row>
    <row r="149" spans="1:19">
      <c r="A149" s="630">
        <v>4552000</v>
      </c>
      <c r="B149" s="623"/>
      <c r="C149" s="623"/>
      <c r="D149" s="623"/>
      <c r="E149" s="627" t="s">
        <v>968</v>
      </c>
      <c r="F149" s="631" t="s">
        <v>969</v>
      </c>
      <c r="G149" s="632"/>
      <c r="H149" s="633">
        <v>4552</v>
      </c>
      <c r="I149" s="618"/>
      <c r="J149" s="619" t="s">
        <v>968</v>
      </c>
      <c r="K149" s="618"/>
      <c r="L149" s="619">
        <v>48</v>
      </c>
      <c r="M149" s="620">
        <v>47</v>
      </c>
      <c r="N149" s="619"/>
      <c r="O149" s="619">
        <v>5</v>
      </c>
      <c r="P149" s="619" t="s">
        <v>760</v>
      </c>
      <c r="Q149" s="618"/>
      <c r="R149" s="618"/>
      <c r="S149" s="621"/>
    </row>
    <row r="150" spans="1:19">
      <c r="A150" s="630">
        <v>4553000</v>
      </c>
      <c r="B150" s="623"/>
      <c r="C150" s="638"/>
      <c r="D150" s="638"/>
      <c r="E150" s="639" t="s">
        <v>970</v>
      </c>
      <c r="F150" s="640" t="s">
        <v>971</v>
      </c>
      <c r="G150" s="641"/>
      <c r="H150" s="642">
        <v>4553</v>
      </c>
      <c r="I150" s="618"/>
      <c r="J150" s="619" t="s">
        <v>970</v>
      </c>
      <c r="K150" s="618"/>
      <c r="L150" s="619">
        <v>54</v>
      </c>
      <c r="M150" s="620">
        <v>57</v>
      </c>
      <c r="N150" s="619"/>
      <c r="O150" s="619">
        <v>5</v>
      </c>
      <c r="P150" s="619" t="s">
        <v>760</v>
      </c>
      <c r="Q150" s="618"/>
      <c r="R150" s="618"/>
      <c r="S150" s="621"/>
    </row>
    <row r="151" spans="1:19">
      <c r="A151" s="630">
        <v>4559000</v>
      </c>
      <c r="B151" s="623"/>
      <c r="C151" s="623"/>
      <c r="D151" s="623"/>
      <c r="E151" s="627" t="s">
        <v>972</v>
      </c>
      <c r="F151" s="631" t="s">
        <v>973</v>
      </c>
      <c r="G151" s="632"/>
      <c r="H151" s="633">
        <v>4559</v>
      </c>
      <c r="I151" s="618"/>
      <c r="J151" s="619" t="s">
        <v>972</v>
      </c>
      <c r="K151" s="618"/>
      <c r="L151" s="619">
        <v>55</v>
      </c>
      <c r="M151" s="620">
        <v>57</v>
      </c>
      <c r="N151" s="619"/>
      <c r="O151" s="619">
        <v>5</v>
      </c>
      <c r="P151" s="619" t="s">
        <v>760</v>
      </c>
      <c r="Q151" s="618"/>
      <c r="R151" s="618"/>
      <c r="S151" s="621"/>
    </row>
    <row r="152" spans="1:19">
      <c r="A152" s="630">
        <v>4560000</v>
      </c>
      <c r="B152" s="623"/>
      <c r="C152" s="623"/>
      <c r="D152" s="623" t="s">
        <v>851</v>
      </c>
      <c r="E152" s="627" t="s">
        <v>974</v>
      </c>
      <c r="F152" s="631" t="s">
        <v>975</v>
      </c>
      <c r="G152" s="632"/>
      <c r="H152" s="633">
        <v>4560</v>
      </c>
      <c r="I152" s="618"/>
      <c r="J152" s="619" t="s">
        <v>974</v>
      </c>
      <c r="K152" s="618"/>
      <c r="L152" s="619">
        <v>66</v>
      </c>
      <c r="M152" s="620">
        <v>57</v>
      </c>
      <c r="N152" s="619"/>
      <c r="O152" s="619">
        <v>5</v>
      </c>
      <c r="P152" s="619" t="s">
        <v>760</v>
      </c>
      <c r="Q152" s="618"/>
      <c r="R152" s="618"/>
      <c r="S152" s="621"/>
    </row>
    <row r="153" spans="1:19">
      <c r="A153" s="630">
        <v>4570000</v>
      </c>
      <c r="B153" s="623"/>
      <c r="C153" s="623"/>
      <c r="D153" s="623" t="s">
        <v>854</v>
      </c>
      <c r="E153" s="627" t="s">
        <v>976</v>
      </c>
      <c r="F153" s="631" t="s">
        <v>977</v>
      </c>
      <c r="G153" s="632"/>
      <c r="H153" s="633">
        <v>4570</v>
      </c>
      <c r="I153" s="618"/>
      <c r="J153" s="619" t="s">
        <v>976</v>
      </c>
      <c r="K153" s="618"/>
      <c r="L153" s="619">
        <v>66</v>
      </c>
      <c r="M153" s="620">
        <v>57</v>
      </c>
      <c r="N153" s="619"/>
      <c r="O153" s="619">
        <v>5</v>
      </c>
      <c r="P153" s="619" t="s">
        <v>760</v>
      </c>
      <c r="Q153" s="618"/>
      <c r="R153" s="618"/>
      <c r="S153" s="621"/>
    </row>
    <row r="154" spans="1:19">
      <c r="A154" s="630">
        <v>4580000</v>
      </c>
      <c r="B154" s="623"/>
      <c r="C154" s="623"/>
      <c r="D154" s="623" t="s">
        <v>857</v>
      </c>
      <c r="E154" s="627" t="s">
        <v>978</v>
      </c>
      <c r="F154" s="631" t="s">
        <v>979</v>
      </c>
      <c r="G154" s="632"/>
      <c r="H154" s="633">
        <v>4580</v>
      </c>
      <c r="I154" s="618"/>
      <c r="J154" s="619" t="s">
        <v>978</v>
      </c>
      <c r="K154" s="618"/>
      <c r="L154" s="619">
        <v>63</v>
      </c>
      <c r="M154" s="620">
        <v>52</v>
      </c>
      <c r="N154" s="619"/>
      <c r="O154" s="619">
        <v>5</v>
      </c>
      <c r="P154" s="619" t="s">
        <v>760</v>
      </c>
      <c r="Q154" s="618"/>
      <c r="R154" s="618"/>
      <c r="S154" s="621"/>
    </row>
    <row r="155" spans="1:19">
      <c r="A155" s="630">
        <v>4590000</v>
      </c>
      <c r="B155" s="623"/>
      <c r="C155" s="623"/>
      <c r="D155" s="623" t="s">
        <v>860</v>
      </c>
      <c r="E155" s="627" t="s">
        <v>980</v>
      </c>
      <c r="F155" s="631" t="s">
        <v>981</v>
      </c>
      <c r="G155" s="632"/>
      <c r="H155" s="633">
        <v>4590</v>
      </c>
      <c r="I155" s="618"/>
      <c r="J155" s="619" t="s">
        <v>980</v>
      </c>
      <c r="K155" s="618"/>
      <c r="L155" s="619">
        <v>66</v>
      </c>
      <c r="M155" s="620">
        <v>57</v>
      </c>
      <c r="N155" s="619"/>
      <c r="O155" s="619">
        <v>5</v>
      </c>
      <c r="P155" s="619" t="s">
        <v>760</v>
      </c>
      <c r="Q155" s="618"/>
      <c r="R155" s="618"/>
      <c r="S155" s="621"/>
    </row>
    <row r="156" spans="1:19">
      <c r="A156" s="622"/>
      <c r="B156" s="623"/>
      <c r="C156" s="629">
        <v>18</v>
      </c>
      <c r="D156" s="774" t="s">
        <v>982</v>
      </c>
      <c r="E156" s="775"/>
      <c r="F156" s="626"/>
      <c r="G156" s="623"/>
      <c r="H156" s="627"/>
      <c r="I156" s="618"/>
      <c r="J156" s="618"/>
      <c r="K156" s="618"/>
      <c r="L156" s="618"/>
      <c r="M156" s="618"/>
      <c r="N156" s="618"/>
      <c r="O156" s="618"/>
      <c r="P156" s="618"/>
      <c r="Q156" s="618"/>
      <c r="R156" s="618"/>
      <c r="S156" s="621"/>
    </row>
    <row r="157" spans="1:19">
      <c r="A157" s="659"/>
      <c r="B157" s="623"/>
      <c r="C157" s="623"/>
      <c r="D157" s="623" t="s">
        <v>756</v>
      </c>
      <c r="E157" s="627" t="s">
        <v>983</v>
      </c>
      <c r="F157" s="631" t="s">
        <v>984</v>
      </c>
      <c r="G157" s="632"/>
      <c r="H157" s="633">
        <v>4810</v>
      </c>
      <c r="I157" s="618"/>
      <c r="J157" s="619" t="s">
        <v>983</v>
      </c>
      <c r="K157" s="618"/>
      <c r="L157" s="619">
        <v>66</v>
      </c>
      <c r="M157" s="620">
        <v>57</v>
      </c>
      <c r="N157" s="619"/>
      <c r="O157" s="619">
        <v>5</v>
      </c>
      <c r="P157" s="619" t="s">
        <v>760</v>
      </c>
      <c r="Q157" s="618"/>
      <c r="R157" s="618"/>
      <c r="S157" s="621"/>
    </row>
    <row r="158" spans="1:19">
      <c r="A158" s="630">
        <v>4820000</v>
      </c>
      <c r="B158" s="623"/>
      <c r="C158" s="623"/>
      <c r="D158" s="623" t="s">
        <v>775</v>
      </c>
      <c r="E158" s="627" t="s">
        <v>985</v>
      </c>
      <c r="F158" s="631" t="s">
        <v>986</v>
      </c>
      <c r="G158" s="632"/>
      <c r="H158" s="633">
        <v>4820</v>
      </c>
      <c r="I158" s="618"/>
      <c r="J158" s="619" t="s">
        <v>985</v>
      </c>
      <c r="K158" s="618"/>
      <c r="L158" s="619">
        <v>66</v>
      </c>
      <c r="M158" s="620">
        <v>57</v>
      </c>
      <c r="N158" s="619"/>
      <c r="O158" s="619">
        <v>5</v>
      </c>
      <c r="P158" s="619" t="s">
        <v>760</v>
      </c>
      <c r="Q158" s="618"/>
      <c r="R158" s="618"/>
      <c r="S158" s="621"/>
    </row>
    <row r="159" spans="1:19">
      <c r="A159" s="630">
        <v>4890000</v>
      </c>
      <c r="B159" s="623"/>
      <c r="C159" s="623"/>
      <c r="D159" s="623" t="s">
        <v>799</v>
      </c>
      <c r="E159" s="627" t="s">
        <v>909</v>
      </c>
      <c r="F159" s="631" t="s">
        <v>987</v>
      </c>
      <c r="G159" s="632"/>
      <c r="H159" s="633">
        <v>4890</v>
      </c>
      <c r="I159" s="618"/>
      <c r="J159" s="619" t="s">
        <v>909</v>
      </c>
      <c r="K159" s="618"/>
      <c r="L159" s="619">
        <v>66</v>
      </c>
      <c r="M159" s="620">
        <v>57</v>
      </c>
      <c r="N159" s="619"/>
      <c r="O159" s="619">
        <v>5</v>
      </c>
      <c r="P159" s="619" t="s">
        <v>760</v>
      </c>
      <c r="Q159" s="618"/>
      <c r="R159" s="618"/>
      <c r="S159" s="621"/>
    </row>
    <row r="160" spans="1:19">
      <c r="A160" s="622"/>
      <c r="B160" s="623"/>
      <c r="C160" s="629">
        <v>19</v>
      </c>
      <c r="D160" s="774" t="s">
        <v>988</v>
      </c>
      <c r="E160" s="775"/>
      <c r="F160" s="626"/>
      <c r="G160" s="623"/>
      <c r="H160" s="627"/>
      <c r="I160" s="618"/>
      <c r="J160" s="618"/>
      <c r="K160" s="618"/>
      <c r="L160" s="618"/>
      <c r="M160" s="618"/>
      <c r="N160" s="618"/>
      <c r="O160" s="618"/>
      <c r="P160" s="618"/>
      <c r="Q160" s="618"/>
      <c r="R160" s="618"/>
      <c r="S160" s="621"/>
    </row>
    <row r="161" spans="1:20">
      <c r="A161" s="630">
        <v>4910000</v>
      </c>
      <c r="B161" s="623"/>
      <c r="C161" s="623"/>
      <c r="D161" s="623" t="s">
        <v>756</v>
      </c>
      <c r="E161" s="627" t="s">
        <v>989</v>
      </c>
      <c r="F161" s="631" t="s">
        <v>990</v>
      </c>
      <c r="G161" s="632"/>
      <c r="H161" s="633">
        <v>4910</v>
      </c>
      <c r="I161" s="618"/>
      <c r="J161" s="619" t="s">
        <v>989</v>
      </c>
      <c r="K161" s="618"/>
      <c r="L161" s="619">
        <v>66</v>
      </c>
      <c r="M161" s="620">
        <v>57</v>
      </c>
      <c r="N161" s="619"/>
      <c r="O161" s="619">
        <v>5</v>
      </c>
      <c r="P161" s="619" t="s">
        <v>760</v>
      </c>
      <c r="Q161" s="618"/>
      <c r="R161" s="618"/>
      <c r="S161" s="621"/>
      <c r="T161" s="618"/>
    </row>
    <row r="162" spans="1:20">
      <c r="A162" s="630">
        <v>4920000</v>
      </c>
      <c r="B162" s="623"/>
      <c r="C162" s="623"/>
      <c r="D162" s="623" t="s">
        <v>775</v>
      </c>
      <c r="E162" s="627" t="s">
        <v>991</v>
      </c>
      <c r="F162" s="631" t="s">
        <v>992</v>
      </c>
      <c r="G162" s="632"/>
      <c r="H162" s="633">
        <v>4920</v>
      </c>
      <c r="I162" s="618"/>
      <c r="J162" s="619" t="s">
        <v>991</v>
      </c>
      <c r="K162" s="618"/>
      <c r="L162" s="619">
        <v>66</v>
      </c>
      <c r="M162" s="620">
        <v>57</v>
      </c>
      <c r="N162" s="619"/>
      <c r="O162" s="619">
        <v>5</v>
      </c>
      <c r="P162" s="619" t="s">
        <v>760</v>
      </c>
      <c r="Q162" s="618"/>
      <c r="R162" s="618"/>
      <c r="S162" s="621"/>
      <c r="T162" s="618"/>
    </row>
    <row r="163" spans="1:20" ht="16" thickBot="1">
      <c r="A163" s="630">
        <v>4990000</v>
      </c>
      <c r="B163" s="623"/>
      <c r="C163" s="623"/>
      <c r="D163" s="623" t="s">
        <v>799</v>
      </c>
      <c r="E163" s="627" t="s">
        <v>993</v>
      </c>
      <c r="F163" s="631" t="s">
        <v>994</v>
      </c>
      <c r="G163" s="632"/>
      <c r="H163" s="633">
        <v>4990</v>
      </c>
      <c r="I163" s="618"/>
      <c r="J163" s="619" t="s">
        <v>993</v>
      </c>
      <c r="K163" s="618"/>
      <c r="L163" s="619">
        <v>66</v>
      </c>
      <c r="M163" s="620">
        <v>57</v>
      </c>
      <c r="N163" s="619"/>
      <c r="O163" s="619">
        <v>5</v>
      </c>
      <c r="P163" s="619" t="s">
        <v>760</v>
      </c>
      <c r="Q163" s="618"/>
      <c r="R163" s="618"/>
      <c r="S163" s="621"/>
      <c r="T163" s="618"/>
    </row>
    <row r="164" spans="1:20" ht="16.5" thickTop="1" thickBot="1">
      <c r="A164" s="622"/>
      <c r="B164" s="781" t="s">
        <v>995</v>
      </c>
      <c r="C164" s="773"/>
      <c r="D164" s="773"/>
      <c r="E164" s="782"/>
      <c r="F164" s="656" t="s">
        <v>653</v>
      </c>
      <c r="G164" s="657"/>
      <c r="H164" s="658"/>
      <c r="I164" s="618"/>
      <c r="J164" s="618"/>
      <c r="K164" s="618"/>
      <c r="L164" s="618"/>
      <c r="M164" s="618"/>
      <c r="N164" s="618"/>
      <c r="O164" s="618"/>
      <c r="P164" s="618"/>
      <c r="Q164" s="618"/>
      <c r="R164" s="618"/>
      <c r="S164" s="621"/>
      <c r="T164" s="618"/>
    </row>
    <row r="165" spans="1:20" ht="16.5" thickTop="1" thickBot="1">
      <c r="A165" s="622"/>
      <c r="B165" s="788" t="s">
        <v>996</v>
      </c>
      <c r="C165" s="789"/>
      <c r="D165" s="789"/>
      <c r="E165" s="777"/>
      <c r="F165" s="660" t="s">
        <v>655</v>
      </c>
      <c r="G165" s="613"/>
      <c r="H165" s="614"/>
      <c r="I165" s="618"/>
      <c r="J165" s="618"/>
      <c r="K165" s="618"/>
      <c r="L165" s="618"/>
      <c r="M165" s="618"/>
      <c r="N165" s="618"/>
      <c r="O165" s="618"/>
      <c r="P165" s="618"/>
      <c r="Q165" s="618"/>
      <c r="R165" s="618"/>
      <c r="S165" s="621"/>
      <c r="T165" s="618"/>
    </row>
    <row r="166" spans="1:20" ht="18.5" thickTop="1">
      <c r="A166" s="622"/>
      <c r="B166" s="623"/>
      <c r="C166" s="623"/>
      <c r="D166" s="625"/>
      <c r="E166" s="627"/>
      <c r="F166" s="626"/>
      <c r="G166" s="623"/>
      <c r="H166" s="627"/>
      <c r="I166" s="618"/>
      <c r="J166" s="618"/>
      <c r="K166" s="618"/>
      <c r="L166" s="618"/>
      <c r="M166" s="618"/>
      <c r="N166" s="618"/>
      <c r="O166" s="618"/>
      <c r="P166" s="618"/>
      <c r="Q166" s="618"/>
      <c r="R166" s="618"/>
      <c r="S166" s="621"/>
      <c r="T166" s="618"/>
    </row>
    <row r="167" spans="1:20" ht="18">
      <c r="A167" s="622"/>
      <c r="B167" s="628"/>
      <c r="C167" s="623"/>
      <c r="D167" s="793" t="s">
        <v>997</v>
      </c>
      <c r="E167" s="775"/>
      <c r="F167" s="626"/>
      <c r="G167" s="623"/>
      <c r="H167" s="627"/>
      <c r="I167" s="618"/>
      <c r="J167" s="618"/>
      <c r="K167" s="618"/>
      <c r="L167" s="618"/>
      <c r="M167" s="618"/>
      <c r="N167" s="618"/>
      <c r="O167" s="618"/>
      <c r="P167" s="618"/>
      <c r="Q167" s="618"/>
      <c r="R167" s="618"/>
      <c r="S167" s="621"/>
      <c r="T167" s="618"/>
    </row>
    <row r="168" spans="1:20">
      <c r="A168" s="622"/>
      <c r="B168" s="628"/>
      <c r="C168" s="623"/>
      <c r="D168" s="623"/>
      <c r="E168" s="627"/>
      <c r="F168" s="626"/>
      <c r="G168" s="623"/>
      <c r="H168" s="627"/>
      <c r="I168" s="618"/>
      <c r="J168" s="618"/>
      <c r="K168" s="618"/>
      <c r="L168" s="618"/>
      <c r="M168" s="618"/>
      <c r="N168" s="618"/>
      <c r="O168" s="618"/>
      <c r="P168" s="618"/>
      <c r="Q168" s="618"/>
      <c r="R168" s="618"/>
      <c r="S168" s="621"/>
      <c r="T168" s="618"/>
    </row>
    <row r="169" spans="1:20">
      <c r="A169" s="622"/>
      <c r="B169" s="628" t="s">
        <v>754</v>
      </c>
      <c r="C169" s="770" t="s">
        <v>998</v>
      </c>
      <c r="D169" s="771"/>
      <c r="E169" s="775"/>
      <c r="F169" s="626"/>
      <c r="G169" s="623"/>
      <c r="H169" s="627"/>
      <c r="I169" s="618"/>
      <c r="J169" s="618"/>
      <c r="K169" s="618"/>
      <c r="L169" s="618"/>
      <c r="M169" s="618"/>
      <c r="N169" s="618"/>
      <c r="O169" s="618"/>
      <c r="P169" s="618"/>
      <c r="Q169" s="618"/>
      <c r="R169" s="618"/>
      <c r="S169" s="621"/>
      <c r="T169" s="618"/>
    </row>
    <row r="170" spans="1:20">
      <c r="A170" s="622"/>
      <c r="B170" s="628" t="s">
        <v>999</v>
      </c>
      <c r="C170" s="770" t="s">
        <v>662</v>
      </c>
      <c r="D170" s="771"/>
      <c r="E170" s="775"/>
      <c r="F170" s="626"/>
      <c r="G170" s="623"/>
      <c r="H170" s="627"/>
      <c r="I170" s="618"/>
      <c r="J170" s="618"/>
      <c r="K170" s="618"/>
      <c r="L170" s="618"/>
      <c r="M170" s="618"/>
      <c r="N170" s="618"/>
      <c r="O170" s="618"/>
      <c r="P170" s="618"/>
      <c r="Q170" s="618"/>
      <c r="R170" s="618"/>
      <c r="S170" s="621"/>
      <c r="T170" s="618"/>
    </row>
    <row r="171" spans="1:20">
      <c r="A171" s="622"/>
      <c r="B171" s="628"/>
      <c r="C171" s="629">
        <v>1</v>
      </c>
      <c r="D171" s="774" t="s">
        <v>244</v>
      </c>
      <c r="E171" s="775"/>
      <c r="F171" s="626"/>
      <c r="G171" s="623"/>
      <c r="H171" s="627"/>
      <c r="I171" s="618"/>
      <c r="J171" s="618"/>
      <c r="K171" s="618"/>
      <c r="L171" s="618"/>
      <c r="M171" s="618"/>
      <c r="N171" s="618"/>
      <c r="O171" s="618"/>
      <c r="P171" s="618"/>
      <c r="Q171" s="618"/>
      <c r="R171" s="618"/>
      <c r="S171" s="621"/>
      <c r="T171" s="618"/>
    </row>
    <row r="172" spans="1:20">
      <c r="A172" s="630">
        <v>1121105</v>
      </c>
      <c r="B172" s="628"/>
      <c r="C172" s="623"/>
      <c r="D172" s="623" t="s">
        <v>756</v>
      </c>
      <c r="E172" s="627" t="s">
        <v>1000</v>
      </c>
      <c r="F172" s="631" t="s">
        <v>1001</v>
      </c>
      <c r="G172" s="661">
        <v>112</v>
      </c>
      <c r="H172" s="633">
        <v>1105</v>
      </c>
      <c r="I172" s="618"/>
      <c r="J172" s="619" t="s">
        <v>1000</v>
      </c>
      <c r="K172" s="618"/>
      <c r="L172" s="619">
        <v>82</v>
      </c>
      <c r="M172" s="620">
        <v>77</v>
      </c>
      <c r="N172" s="619"/>
      <c r="O172" s="619">
        <v>7</v>
      </c>
      <c r="P172" s="619" t="s">
        <v>760</v>
      </c>
      <c r="Q172" s="662" t="s">
        <v>1002</v>
      </c>
      <c r="R172" s="619" t="s">
        <v>1003</v>
      </c>
      <c r="S172" s="621" t="s">
        <v>1004</v>
      </c>
      <c r="T172" s="619" t="s">
        <v>1000</v>
      </c>
    </row>
    <row r="173" spans="1:20">
      <c r="A173" s="630">
        <v>1121110</v>
      </c>
      <c r="B173" s="628"/>
      <c r="C173" s="623"/>
      <c r="D173" s="623" t="s">
        <v>775</v>
      </c>
      <c r="E173" s="627" t="s">
        <v>1005</v>
      </c>
      <c r="F173" s="631" t="s">
        <v>1006</v>
      </c>
      <c r="G173" s="661">
        <v>112</v>
      </c>
      <c r="H173" s="633">
        <v>1110</v>
      </c>
      <c r="I173" s="618"/>
      <c r="J173" s="619" t="s">
        <v>1005</v>
      </c>
      <c r="K173" s="618"/>
      <c r="L173" s="619">
        <v>82</v>
      </c>
      <c r="M173" s="620">
        <v>77</v>
      </c>
      <c r="N173" s="619"/>
      <c r="O173" s="619">
        <v>7</v>
      </c>
      <c r="P173" s="619" t="s">
        <v>760</v>
      </c>
      <c r="Q173" s="662" t="s">
        <v>1002</v>
      </c>
      <c r="R173" s="618"/>
      <c r="S173" s="621" t="s">
        <v>1004</v>
      </c>
      <c r="T173" s="619" t="s">
        <v>1005</v>
      </c>
    </row>
    <row r="174" spans="1:20">
      <c r="A174" s="630">
        <v>1121130</v>
      </c>
      <c r="B174" s="628"/>
      <c r="C174" s="623"/>
      <c r="D174" s="623" t="s">
        <v>799</v>
      </c>
      <c r="E174" s="627" t="s">
        <v>1007</v>
      </c>
      <c r="F174" s="631" t="s">
        <v>1008</v>
      </c>
      <c r="G174" s="661">
        <v>112</v>
      </c>
      <c r="H174" s="633">
        <v>1130</v>
      </c>
      <c r="I174" s="618"/>
      <c r="J174" s="619" t="s">
        <v>1007</v>
      </c>
      <c r="K174" s="618"/>
      <c r="L174" s="619">
        <v>82</v>
      </c>
      <c r="M174" s="620">
        <v>77</v>
      </c>
      <c r="N174" s="619"/>
      <c r="O174" s="619">
        <v>7</v>
      </c>
      <c r="P174" s="619" t="s">
        <v>760</v>
      </c>
      <c r="Q174" s="662" t="s">
        <v>1002</v>
      </c>
      <c r="R174" s="618"/>
      <c r="S174" s="621" t="s">
        <v>1004</v>
      </c>
      <c r="T174" s="619" t="s">
        <v>1007</v>
      </c>
    </row>
    <row r="175" spans="1:20">
      <c r="A175" s="630">
        <v>1151100</v>
      </c>
      <c r="B175" s="628"/>
      <c r="C175" s="623"/>
      <c r="D175" s="623" t="s">
        <v>803</v>
      </c>
      <c r="E175" s="627" t="s">
        <v>1009</v>
      </c>
      <c r="F175" s="631" t="s">
        <v>1010</v>
      </c>
      <c r="G175" s="661">
        <v>115</v>
      </c>
      <c r="H175" s="633">
        <v>1100</v>
      </c>
      <c r="I175" s="618"/>
      <c r="J175" s="619" t="s">
        <v>1009</v>
      </c>
      <c r="K175" s="618"/>
      <c r="L175" s="619">
        <v>86</v>
      </c>
      <c r="M175" s="620">
        <v>81</v>
      </c>
      <c r="N175" s="619"/>
      <c r="O175" s="619">
        <v>7</v>
      </c>
      <c r="P175" s="619" t="s">
        <v>760</v>
      </c>
      <c r="Q175" s="662" t="s">
        <v>1002</v>
      </c>
      <c r="R175" s="618"/>
      <c r="S175" s="621" t="s">
        <v>1004</v>
      </c>
      <c r="T175" s="619" t="s">
        <v>1009</v>
      </c>
    </row>
    <row r="176" spans="1:20">
      <c r="A176" s="630">
        <v>1231100</v>
      </c>
      <c r="B176" s="628"/>
      <c r="C176" s="623"/>
      <c r="D176" s="623" t="s">
        <v>848</v>
      </c>
      <c r="E176" s="627" t="s">
        <v>1011</v>
      </c>
      <c r="F176" s="631" t="s">
        <v>1012</v>
      </c>
      <c r="G176" s="661">
        <v>123</v>
      </c>
      <c r="H176" s="633">
        <v>1100</v>
      </c>
      <c r="I176" s="618"/>
      <c r="J176" s="619" t="s">
        <v>1011</v>
      </c>
      <c r="K176" s="618"/>
      <c r="L176" s="619">
        <v>86</v>
      </c>
      <c r="M176" s="620">
        <v>81</v>
      </c>
      <c r="N176" s="619"/>
      <c r="O176" s="619">
        <v>7</v>
      </c>
      <c r="P176" s="619" t="s">
        <v>760</v>
      </c>
      <c r="Q176" s="662" t="s">
        <v>1002</v>
      </c>
      <c r="R176" s="618"/>
      <c r="S176" s="621" t="s">
        <v>1004</v>
      </c>
      <c r="T176" s="619" t="s">
        <v>1011</v>
      </c>
    </row>
    <row r="177" spans="1:20">
      <c r="A177" s="630">
        <v>1201100</v>
      </c>
      <c r="B177" s="628"/>
      <c r="C177" s="623"/>
      <c r="D177" s="623" t="s">
        <v>851</v>
      </c>
      <c r="E177" s="627" t="s">
        <v>1013</v>
      </c>
      <c r="F177" s="631" t="s">
        <v>1014</v>
      </c>
      <c r="G177" s="661">
        <v>120</v>
      </c>
      <c r="H177" s="633">
        <v>1100</v>
      </c>
      <c r="I177" s="618"/>
      <c r="J177" s="619" t="s">
        <v>1013</v>
      </c>
      <c r="K177" s="618"/>
      <c r="L177" s="619">
        <v>86</v>
      </c>
      <c r="M177" s="620">
        <v>81</v>
      </c>
      <c r="N177" s="619"/>
      <c r="O177" s="619">
        <v>7</v>
      </c>
      <c r="P177" s="619" t="s">
        <v>760</v>
      </c>
      <c r="Q177" s="662" t="s">
        <v>1002</v>
      </c>
      <c r="R177" s="618"/>
      <c r="S177" s="621" t="s">
        <v>1004</v>
      </c>
      <c r="T177" s="619" t="s">
        <v>1013</v>
      </c>
    </row>
    <row r="178" spans="1:20">
      <c r="A178" s="630">
        <v>1001100</v>
      </c>
      <c r="B178" s="628"/>
      <c r="C178" s="623"/>
      <c r="D178" s="623" t="s">
        <v>854</v>
      </c>
      <c r="E178" s="627" t="s">
        <v>1015</v>
      </c>
      <c r="F178" s="631" t="s">
        <v>1016</v>
      </c>
      <c r="G178" s="661">
        <v>100</v>
      </c>
      <c r="H178" s="633">
        <v>1100</v>
      </c>
      <c r="I178" s="618"/>
      <c r="J178" s="619" t="s">
        <v>1015</v>
      </c>
      <c r="K178" s="618"/>
      <c r="L178" s="619">
        <v>86</v>
      </c>
      <c r="M178" s="620">
        <v>81</v>
      </c>
      <c r="N178" s="619"/>
      <c r="O178" s="619">
        <v>7</v>
      </c>
      <c r="P178" s="619" t="s">
        <v>760</v>
      </c>
      <c r="Q178" s="662" t="s">
        <v>1002</v>
      </c>
      <c r="R178" s="618"/>
      <c r="S178" s="621" t="s">
        <v>1004</v>
      </c>
      <c r="T178" s="619" t="s">
        <v>1015</v>
      </c>
    </row>
    <row r="179" spans="1:20">
      <c r="A179" s="630">
        <v>1401100</v>
      </c>
      <c r="B179" s="628"/>
      <c r="C179" s="623"/>
      <c r="D179" s="623" t="s">
        <v>857</v>
      </c>
      <c r="E179" s="627" t="s">
        <v>1017</v>
      </c>
      <c r="F179" s="631" t="s">
        <v>1018</v>
      </c>
      <c r="G179" s="661">
        <v>140</v>
      </c>
      <c r="H179" s="633">
        <v>1100</v>
      </c>
      <c r="I179" s="618"/>
      <c r="J179" s="619" t="s">
        <v>1017</v>
      </c>
      <c r="K179" s="618"/>
      <c r="L179" s="619">
        <v>86</v>
      </c>
      <c r="M179" s="620">
        <v>81</v>
      </c>
      <c r="N179" s="619"/>
      <c r="O179" s="619">
        <v>7</v>
      </c>
      <c r="P179" s="619" t="s">
        <v>760</v>
      </c>
      <c r="Q179" s="662" t="s">
        <v>1002</v>
      </c>
      <c r="R179" s="618"/>
      <c r="S179" s="621" t="s">
        <v>1004</v>
      </c>
      <c r="T179" s="619" t="s">
        <v>1017</v>
      </c>
    </row>
    <row r="180" spans="1:20">
      <c r="A180" s="630">
        <v>3001100</v>
      </c>
      <c r="B180" s="628"/>
      <c r="C180" s="629">
        <v>2</v>
      </c>
      <c r="D180" s="774" t="s">
        <v>1019</v>
      </c>
      <c r="E180" s="775"/>
      <c r="F180" s="631" t="s">
        <v>1020</v>
      </c>
      <c r="G180" s="661">
        <v>300</v>
      </c>
      <c r="H180" s="633">
        <v>1100</v>
      </c>
      <c r="I180" s="618"/>
      <c r="J180" s="619" t="s">
        <v>1019</v>
      </c>
      <c r="K180" s="618"/>
      <c r="L180" s="619">
        <v>101</v>
      </c>
      <c r="M180" s="620">
        <v>96</v>
      </c>
      <c r="N180" s="619"/>
      <c r="O180" s="619">
        <v>7</v>
      </c>
      <c r="P180" s="619" t="s">
        <v>760</v>
      </c>
      <c r="Q180" s="662"/>
      <c r="R180" s="618"/>
      <c r="S180" s="621" t="s">
        <v>1004</v>
      </c>
      <c r="T180" s="619" t="s">
        <v>1019</v>
      </c>
    </row>
    <row r="181" spans="1:20">
      <c r="A181" s="622"/>
      <c r="B181" s="628"/>
      <c r="C181" s="629">
        <v>3</v>
      </c>
      <c r="D181" s="774" t="s">
        <v>250</v>
      </c>
      <c r="E181" s="775"/>
      <c r="F181" s="626"/>
      <c r="G181" s="623"/>
      <c r="H181" s="627"/>
      <c r="I181" s="618"/>
      <c r="J181" s="618"/>
      <c r="K181" s="618"/>
      <c r="L181" s="618"/>
      <c r="M181" s="618"/>
      <c r="N181" s="618"/>
      <c r="O181" s="618"/>
      <c r="P181" s="618"/>
      <c r="Q181" s="662"/>
      <c r="R181" s="618"/>
      <c r="S181" s="621"/>
      <c r="T181" s="618"/>
    </row>
    <row r="182" spans="1:20">
      <c r="A182" s="630">
        <v>4301100</v>
      </c>
      <c r="B182" s="628"/>
      <c r="C182" s="623"/>
      <c r="D182" s="623" t="s">
        <v>756</v>
      </c>
      <c r="E182" s="627" t="s">
        <v>1021</v>
      </c>
      <c r="F182" s="634" t="s">
        <v>1022</v>
      </c>
      <c r="G182" s="661">
        <v>430</v>
      </c>
      <c r="H182" s="633">
        <v>1100</v>
      </c>
      <c r="I182" s="618"/>
      <c r="J182" s="619" t="s">
        <v>1021</v>
      </c>
      <c r="K182" s="618"/>
      <c r="L182" s="619">
        <v>107</v>
      </c>
      <c r="M182" s="620">
        <v>102</v>
      </c>
      <c r="N182" s="619"/>
      <c r="O182" s="619">
        <v>7</v>
      </c>
      <c r="P182" s="619" t="s">
        <v>760</v>
      </c>
      <c r="Q182" s="662"/>
      <c r="R182" s="618"/>
      <c r="S182" s="621" t="s">
        <v>1004</v>
      </c>
      <c r="T182" s="619" t="s">
        <v>1021</v>
      </c>
    </row>
    <row r="183" spans="1:20">
      <c r="A183" s="630">
        <v>4421100</v>
      </c>
      <c r="B183" s="628"/>
      <c r="C183" s="623"/>
      <c r="D183" s="623" t="s">
        <v>775</v>
      </c>
      <c r="E183" s="627" t="s">
        <v>1023</v>
      </c>
      <c r="F183" s="634" t="s">
        <v>1024</v>
      </c>
      <c r="G183" s="629">
        <v>442</v>
      </c>
      <c r="H183" s="635">
        <v>1100</v>
      </c>
      <c r="I183" s="618"/>
      <c r="J183" s="619" t="s">
        <v>1023</v>
      </c>
      <c r="K183" s="618"/>
      <c r="L183" s="619">
        <v>106</v>
      </c>
      <c r="M183" s="620">
        <v>101</v>
      </c>
      <c r="N183" s="619"/>
      <c r="O183" s="619">
        <v>7</v>
      </c>
      <c r="P183" s="619" t="s">
        <v>760</v>
      </c>
      <c r="Q183" s="662"/>
      <c r="R183" s="618"/>
      <c r="S183" s="621" t="s">
        <v>1004</v>
      </c>
      <c r="T183" s="619" t="s">
        <v>1023</v>
      </c>
    </row>
    <row r="184" spans="1:20">
      <c r="A184" s="630">
        <v>4001100</v>
      </c>
      <c r="B184" s="628"/>
      <c r="C184" s="623"/>
      <c r="D184" s="623" t="s">
        <v>799</v>
      </c>
      <c r="E184" s="627" t="s">
        <v>1025</v>
      </c>
      <c r="F184" s="634" t="s">
        <v>1026</v>
      </c>
      <c r="G184" s="629">
        <v>400</v>
      </c>
      <c r="H184" s="635">
        <v>1100</v>
      </c>
      <c r="I184" s="618"/>
      <c r="J184" s="619" t="s">
        <v>1025</v>
      </c>
      <c r="K184" s="618"/>
      <c r="L184" s="619">
        <v>108</v>
      </c>
      <c r="M184" s="620">
        <v>103</v>
      </c>
      <c r="N184" s="619"/>
      <c r="O184" s="619">
        <v>7</v>
      </c>
      <c r="P184" s="619" t="s">
        <v>760</v>
      </c>
      <c r="Q184" s="662"/>
      <c r="R184" s="618"/>
      <c r="S184" s="621" t="s">
        <v>1004</v>
      </c>
      <c r="T184" s="619" t="s">
        <v>1025</v>
      </c>
    </row>
    <row r="185" spans="1:20">
      <c r="A185" s="622"/>
      <c r="B185" s="628"/>
      <c r="C185" s="629">
        <v>4</v>
      </c>
      <c r="D185" s="774" t="s">
        <v>252</v>
      </c>
      <c r="E185" s="775"/>
      <c r="F185" s="626"/>
      <c r="G185" s="623"/>
      <c r="H185" s="627"/>
      <c r="I185" s="618"/>
      <c r="J185" s="618"/>
      <c r="K185" s="618"/>
      <c r="L185" s="618"/>
      <c r="M185" s="618"/>
      <c r="N185" s="618"/>
      <c r="O185" s="618"/>
      <c r="P185" s="618"/>
      <c r="Q185" s="662"/>
      <c r="R185" s="618"/>
      <c r="S185" s="621"/>
      <c r="T185" s="618"/>
    </row>
    <row r="186" spans="1:20">
      <c r="A186" s="622"/>
      <c r="B186" s="628"/>
      <c r="C186" s="623"/>
      <c r="D186" s="623" t="s">
        <v>756</v>
      </c>
      <c r="E186" s="627" t="s">
        <v>1027</v>
      </c>
      <c r="F186" s="626"/>
      <c r="G186" s="623"/>
      <c r="H186" s="627"/>
      <c r="I186" s="618"/>
      <c r="J186" s="618"/>
      <c r="K186" s="618"/>
      <c r="L186" s="618"/>
      <c r="M186" s="618"/>
      <c r="N186" s="618"/>
      <c r="O186" s="618"/>
      <c r="P186" s="618"/>
      <c r="Q186" s="662"/>
      <c r="R186" s="618"/>
      <c r="S186" s="621"/>
      <c r="T186" s="618"/>
    </row>
    <row r="187" spans="1:20">
      <c r="A187" s="630">
        <v>5611100</v>
      </c>
      <c r="B187" s="628"/>
      <c r="C187" s="623"/>
      <c r="D187" s="623"/>
      <c r="E187" s="627" t="s">
        <v>1028</v>
      </c>
      <c r="F187" s="631" t="s">
        <v>1029</v>
      </c>
      <c r="G187" s="663">
        <v>561</v>
      </c>
      <c r="H187" s="633">
        <v>1100</v>
      </c>
      <c r="I187" s="618"/>
      <c r="J187" s="619" t="s">
        <v>1028</v>
      </c>
      <c r="K187" s="618"/>
      <c r="L187" s="619">
        <v>119</v>
      </c>
      <c r="M187" s="620">
        <v>110</v>
      </c>
      <c r="N187" s="619"/>
      <c r="O187" s="619">
        <v>7</v>
      </c>
      <c r="P187" s="619" t="s">
        <v>760</v>
      </c>
      <c r="Q187" s="662"/>
      <c r="R187" s="618"/>
      <c r="S187" s="621" t="s">
        <v>1004</v>
      </c>
      <c r="T187" s="619" t="s">
        <v>1030</v>
      </c>
    </row>
    <row r="188" spans="1:20">
      <c r="A188" s="630">
        <v>5621100</v>
      </c>
      <c r="B188" s="628"/>
      <c r="C188" s="623"/>
      <c r="D188" s="623"/>
      <c r="E188" s="627" t="s">
        <v>1031</v>
      </c>
      <c r="F188" s="631" t="s">
        <v>1032</v>
      </c>
      <c r="G188" s="661">
        <v>562</v>
      </c>
      <c r="H188" s="633">
        <v>1100</v>
      </c>
      <c r="I188" s="618"/>
      <c r="J188" s="619" t="s">
        <v>1031</v>
      </c>
      <c r="K188" s="618"/>
      <c r="L188" s="619">
        <v>119</v>
      </c>
      <c r="M188" s="620">
        <v>110</v>
      </c>
      <c r="N188" s="619"/>
      <c r="O188" s="619">
        <v>7</v>
      </c>
      <c r="P188" s="619" t="s">
        <v>760</v>
      </c>
      <c r="Q188" s="662"/>
      <c r="R188" s="618"/>
      <c r="S188" s="621" t="s">
        <v>1004</v>
      </c>
      <c r="T188" s="619" t="s">
        <v>1033</v>
      </c>
    </row>
    <row r="189" spans="1:20">
      <c r="A189" s="630">
        <v>5631100</v>
      </c>
      <c r="B189" s="628"/>
      <c r="C189" s="623"/>
      <c r="D189" s="623"/>
      <c r="E189" s="627" t="s">
        <v>1034</v>
      </c>
      <c r="F189" s="631" t="s">
        <v>1035</v>
      </c>
      <c r="G189" s="661">
        <v>563</v>
      </c>
      <c r="H189" s="633">
        <v>1100</v>
      </c>
      <c r="I189" s="618"/>
      <c r="J189" s="619" t="s">
        <v>1034</v>
      </c>
      <c r="K189" s="618"/>
      <c r="L189" s="619">
        <v>119</v>
      </c>
      <c r="M189" s="620">
        <v>110</v>
      </c>
      <c r="N189" s="619"/>
      <c r="O189" s="619">
        <v>7</v>
      </c>
      <c r="P189" s="619" t="s">
        <v>760</v>
      </c>
      <c r="Q189" s="662"/>
      <c r="R189" s="618"/>
      <c r="S189" s="621" t="s">
        <v>1004</v>
      </c>
      <c r="T189" s="619" t="s">
        <v>1036</v>
      </c>
    </row>
    <row r="190" spans="1:20">
      <c r="A190" s="630">
        <v>5821100</v>
      </c>
      <c r="B190" s="628"/>
      <c r="C190" s="623"/>
      <c r="D190" s="623" t="s">
        <v>775</v>
      </c>
      <c r="E190" s="627" t="s">
        <v>1037</v>
      </c>
      <c r="F190" s="631" t="s">
        <v>1038</v>
      </c>
      <c r="G190" s="661">
        <v>582</v>
      </c>
      <c r="H190" s="633">
        <v>1100</v>
      </c>
      <c r="I190" s="618"/>
      <c r="J190" s="619" t="s">
        <v>1037</v>
      </c>
      <c r="K190" s="618"/>
      <c r="L190" s="619">
        <v>118</v>
      </c>
      <c r="M190" s="620">
        <v>109</v>
      </c>
      <c r="N190" s="619"/>
      <c r="O190" s="619">
        <v>7</v>
      </c>
      <c r="P190" s="619" t="s">
        <v>760</v>
      </c>
      <c r="Q190" s="662"/>
      <c r="R190" s="618"/>
      <c r="S190" s="621" t="s">
        <v>1004</v>
      </c>
      <c r="T190" s="619" t="s">
        <v>1037</v>
      </c>
    </row>
    <row r="191" spans="1:20">
      <c r="A191" s="630">
        <v>5001100</v>
      </c>
      <c r="B191" s="628"/>
      <c r="C191" s="623"/>
      <c r="D191" s="623" t="s">
        <v>799</v>
      </c>
      <c r="E191" s="627" t="s">
        <v>252</v>
      </c>
      <c r="F191" s="634" t="s">
        <v>1039</v>
      </c>
      <c r="G191" s="629">
        <v>500</v>
      </c>
      <c r="H191" s="635">
        <v>1100</v>
      </c>
      <c r="I191" s="618"/>
      <c r="J191" s="619" t="s">
        <v>252</v>
      </c>
      <c r="K191" s="618"/>
      <c r="L191" s="619">
        <v>119</v>
      </c>
      <c r="M191" s="620">
        <v>110</v>
      </c>
      <c r="N191" s="619"/>
      <c r="O191" s="619">
        <v>7</v>
      </c>
      <c r="P191" s="619" t="s">
        <v>760</v>
      </c>
      <c r="Q191" s="662"/>
      <c r="R191" s="618"/>
      <c r="S191" s="621" t="s">
        <v>1004</v>
      </c>
      <c r="T191" s="619" t="s">
        <v>252</v>
      </c>
    </row>
    <row r="192" spans="1:20">
      <c r="A192" s="622"/>
      <c r="B192" s="628"/>
      <c r="C192" s="629">
        <v>5</v>
      </c>
      <c r="D192" s="774" t="s">
        <v>1040</v>
      </c>
      <c r="E192" s="775"/>
      <c r="F192" s="626"/>
      <c r="G192" s="623"/>
      <c r="H192" s="627"/>
      <c r="I192" s="618"/>
      <c r="J192" s="618"/>
      <c r="K192" s="618"/>
      <c r="L192" s="618"/>
      <c r="M192" s="618"/>
      <c r="N192" s="618"/>
      <c r="O192" s="618"/>
      <c r="P192" s="618"/>
      <c r="Q192" s="662"/>
      <c r="R192" s="618"/>
      <c r="S192" s="621"/>
      <c r="T192" s="618"/>
    </row>
    <row r="193" spans="1:20">
      <c r="A193" s="630">
        <v>6151100</v>
      </c>
      <c r="B193" s="628"/>
      <c r="C193" s="623"/>
      <c r="D193" s="623" t="s">
        <v>756</v>
      </c>
      <c r="E193" s="627" t="s">
        <v>1041</v>
      </c>
      <c r="F193" s="631" t="s">
        <v>1042</v>
      </c>
      <c r="G193" s="661">
        <v>615</v>
      </c>
      <c r="H193" s="633">
        <v>1100</v>
      </c>
      <c r="I193" s="618"/>
      <c r="J193" s="619" t="s">
        <v>1041</v>
      </c>
      <c r="K193" s="618"/>
      <c r="L193" s="619">
        <v>126</v>
      </c>
      <c r="M193" s="620">
        <v>117</v>
      </c>
      <c r="N193" s="619"/>
      <c r="O193" s="619">
        <v>7</v>
      </c>
      <c r="P193" s="619" t="s">
        <v>760</v>
      </c>
      <c r="Q193" s="662" t="s">
        <v>1043</v>
      </c>
      <c r="R193" s="618"/>
      <c r="S193" s="621" t="s">
        <v>1004</v>
      </c>
      <c r="T193" s="619" t="s">
        <v>1041</v>
      </c>
    </row>
    <row r="194" spans="1:20">
      <c r="A194" s="630">
        <v>6101100</v>
      </c>
      <c r="B194" s="628"/>
      <c r="C194" s="623"/>
      <c r="D194" s="623" t="s">
        <v>775</v>
      </c>
      <c r="E194" s="627" t="s">
        <v>1044</v>
      </c>
      <c r="F194" s="631" t="s">
        <v>1045</v>
      </c>
      <c r="G194" s="661">
        <v>610</v>
      </c>
      <c r="H194" s="633">
        <v>1100</v>
      </c>
      <c r="I194" s="618"/>
      <c r="J194" s="619" t="s">
        <v>1044</v>
      </c>
      <c r="K194" s="618"/>
      <c r="L194" s="619">
        <v>122</v>
      </c>
      <c r="M194" s="620">
        <v>113</v>
      </c>
      <c r="N194" s="619"/>
      <c r="O194" s="619">
        <v>7</v>
      </c>
      <c r="P194" s="619" t="s">
        <v>760</v>
      </c>
      <c r="Q194" s="662" t="s">
        <v>1043</v>
      </c>
      <c r="R194" s="618"/>
      <c r="S194" s="621" t="s">
        <v>1004</v>
      </c>
      <c r="T194" s="619" t="s">
        <v>39</v>
      </c>
    </row>
    <row r="195" spans="1:20">
      <c r="A195" s="630">
        <v>6421100</v>
      </c>
      <c r="B195" s="628"/>
      <c r="C195" s="623"/>
      <c r="D195" s="623" t="s">
        <v>799</v>
      </c>
      <c r="E195" s="627" t="s">
        <v>1046</v>
      </c>
      <c r="F195" s="631" t="s">
        <v>1047</v>
      </c>
      <c r="G195" s="661">
        <v>642</v>
      </c>
      <c r="H195" s="633">
        <v>1100</v>
      </c>
      <c r="I195" s="618"/>
      <c r="J195" s="619" t="s">
        <v>1046</v>
      </c>
      <c r="K195" s="618"/>
      <c r="L195" s="619">
        <v>125</v>
      </c>
      <c r="M195" s="620">
        <v>116</v>
      </c>
      <c r="N195" s="619"/>
      <c r="O195" s="619">
        <v>7</v>
      </c>
      <c r="P195" s="619" t="s">
        <v>760</v>
      </c>
      <c r="Q195" s="662" t="s">
        <v>1043</v>
      </c>
      <c r="R195" s="618"/>
      <c r="S195" s="621" t="s">
        <v>1004</v>
      </c>
      <c r="T195" s="619" t="s">
        <v>1046</v>
      </c>
    </row>
    <row r="196" spans="1:20">
      <c r="A196" s="630">
        <v>6001100</v>
      </c>
      <c r="B196" s="628"/>
      <c r="C196" s="623"/>
      <c r="D196" s="623" t="s">
        <v>803</v>
      </c>
      <c r="E196" s="627" t="s">
        <v>1048</v>
      </c>
      <c r="F196" s="631" t="s">
        <v>1049</v>
      </c>
      <c r="G196" s="661">
        <v>600</v>
      </c>
      <c r="H196" s="633">
        <v>1100</v>
      </c>
      <c r="I196" s="618"/>
      <c r="J196" s="619" t="s">
        <v>1048</v>
      </c>
      <c r="K196" s="618"/>
      <c r="L196" s="619">
        <v>126</v>
      </c>
      <c r="M196" s="620">
        <v>117</v>
      </c>
      <c r="N196" s="619"/>
      <c r="O196" s="619">
        <v>7</v>
      </c>
      <c r="P196" s="619" t="s">
        <v>760</v>
      </c>
      <c r="Q196" s="662"/>
      <c r="R196" s="618"/>
      <c r="S196" s="621" t="s">
        <v>1004</v>
      </c>
      <c r="T196" s="619" t="s">
        <v>1048</v>
      </c>
    </row>
    <row r="197" spans="1:20">
      <c r="A197" s="622"/>
      <c r="B197" s="628"/>
      <c r="C197" s="629">
        <v>6</v>
      </c>
      <c r="D197" s="774" t="s">
        <v>1050</v>
      </c>
      <c r="E197" s="775"/>
      <c r="F197" s="626"/>
      <c r="G197" s="623"/>
      <c r="H197" s="627"/>
      <c r="I197" s="618"/>
      <c r="J197" s="618"/>
      <c r="K197" s="618"/>
      <c r="L197" s="618"/>
      <c r="M197" s="618"/>
      <c r="N197" s="618"/>
      <c r="O197" s="618"/>
      <c r="P197" s="618"/>
      <c r="Q197" s="662"/>
      <c r="R197" s="618"/>
      <c r="S197" s="621"/>
      <c r="T197" s="618"/>
    </row>
    <row r="198" spans="1:20">
      <c r="A198" s="630">
        <v>7341100</v>
      </c>
      <c r="B198" s="628"/>
      <c r="C198" s="623"/>
      <c r="D198" s="623" t="s">
        <v>756</v>
      </c>
      <c r="E198" s="627" t="s">
        <v>1051</v>
      </c>
      <c r="F198" s="631" t="s">
        <v>1052</v>
      </c>
      <c r="G198" s="661">
        <v>734</v>
      </c>
      <c r="H198" s="633">
        <v>1100</v>
      </c>
      <c r="I198" s="618"/>
      <c r="J198" s="619" t="s">
        <v>1051</v>
      </c>
      <c r="K198" s="618"/>
      <c r="L198" s="619">
        <v>131</v>
      </c>
      <c r="M198" s="620">
        <v>122</v>
      </c>
      <c r="N198" s="619"/>
      <c r="O198" s="619">
        <v>7</v>
      </c>
      <c r="P198" s="619" t="s">
        <v>760</v>
      </c>
      <c r="Q198" s="662"/>
      <c r="R198" s="618"/>
      <c r="S198" s="621" t="s">
        <v>1004</v>
      </c>
      <c r="T198" s="619" t="s">
        <v>1051</v>
      </c>
    </row>
    <row r="199" spans="1:20">
      <c r="A199" s="630">
        <v>7351100</v>
      </c>
      <c r="B199" s="628"/>
      <c r="C199" s="623"/>
      <c r="D199" s="623" t="s">
        <v>775</v>
      </c>
      <c r="E199" s="627" t="s">
        <v>1053</v>
      </c>
      <c r="F199" s="631" t="s">
        <v>1054</v>
      </c>
      <c r="G199" s="661">
        <v>735</v>
      </c>
      <c r="H199" s="633">
        <v>1100</v>
      </c>
      <c r="I199" s="618"/>
      <c r="J199" s="619" t="s">
        <v>1053</v>
      </c>
      <c r="K199" s="618"/>
      <c r="L199" s="619">
        <v>131</v>
      </c>
      <c r="M199" s="620">
        <v>122</v>
      </c>
      <c r="N199" s="619"/>
      <c r="O199" s="619">
        <v>7</v>
      </c>
      <c r="P199" s="619" t="s">
        <v>760</v>
      </c>
      <c r="Q199" s="662"/>
      <c r="R199" s="618"/>
      <c r="S199" s="621" t="s">
        <v>1004</v>
      </c>
      <c r="T199" s="619" t="s">
        <v>1053</v>
      </c>
    </row>
    <row r="200" spans="1:20">
      <c r="A200" s="630">
        <v>7301100</v>
      </c>
      <c r="B200" s="628"/>
      <c r="C200" s="623"/>
      <c r="D200" s="623" t="s">
        <v>799</v>
      </c>
      <c r="E200" s="627" t="s">
        <v>1055</v>
      </c>
      <c r="F200" s="631" t="s">
        <v>1056</v>
      </c>
      <c r="G200" s="661">
        <v>730</v>
      </c>
      <c r="H200" s="633">
        <v>1100</v>
      </c>
      <c r="I200" s="618"/>
      <c r="J200" s="619" t="s">
        <v>1055</v>
      </c>
      <c r="K200" s="618"/>
      <c r="L200" s="619">
        <v>131</v>
      </c>
      <c r="M200" s="620">
        <v>122</v>
      </c>
      <c r="N200" s="619"/>
      <c r="O200" s="619">
        <v>7</v>
      </c>
      <c r="P200" s="619" t="s">
        <v>760</v>
      </c>
      <c r="Q200" s="662"/>
      <c r="R200" s="618"/>
      <c r="S200" s="621" t="s">
        <v>1004</v>
      </c>
      <c r="T200" s="619" t="s">
        <v>1055</v>
      </c>
    </row>
    <row r="201" spans="1:20">
      <c r="A201" s="630">
        <v>7001100</v>
      </c>
      <c r="B201" s="628"/>
      <c r="C201" s="623"/>
      <c r="D201" s="623" t="s">
        <v>803</v>
      </c>
      <c r="E201" s="627" t="s">
        <v>1057</v>
      </c>
      <c r="F201" s="631" t="s">
        <v>1058</v>
      </c>
      <c r="G201" s="661">
        <v>700</v>
      </c>
      <c r="H201" s="633">
        <v>1100</v>
      </c>
      <c r="I201" s="618"/>
      <c r="J201" s="619" t="s">
        <v>1057</v>
      </c>
      <c r="K201" s="618"/>
      <c r="L201" s="619">
        <v>132</v>
      </c>
      <c r="M201" s="620">
        <v>123</v>
      </c>
      <c r="N201" s="619"/>
      <c r="O201" s="619">
        <v>7</v>
      </c>
      <c r="P201" s="619" t="s">
        <v>760</v>
      </c>
      <c r="Q201" s="662"/>
      <c r="R201" s="618"/>
      <c r="S201" s="621" t="s">
        <v>1004</v>
      </c>
      <c r="T201" s="619" t="s">
        <v>1057</v>
      </c>
    </row>
    <row r="202" spans="1:20">
      <c r="A202" s="622"/>
      <c r="B202" s="628"/>
      <c r="C202" s="629">
        <v>7</v>
      </c>
      <c r="D202" s="774" t="s">
        <v>256</v>
      </c>
      <c r="E202" s="775"/>
      <c r="F202" s="626"/>
      <c r="G202" s="623"/>
      <c r="H202" s="627"/>
      <c r="I202" s="618"/>
      <c r="J202" s="618"/>
      <c r="K202" s="618"/>
      <c r="L202" s="618"/>
      <c r="M202" s="618"/>
      <c r="N202" s="618"/>
      <c r="O202" s="618"/>
      <c r="P202" s="618"/>
      <c r="Q202" s="662"/>
      <c r="R202" s="618"/>
      <c r="S202" s="621"/>
      <c r="T202" s="618"/>
    </row>
    <row r="203" spans="1:20">
      <c r="A203" s="630">
        <v>8951100</v>
      </c>
      <c r="B203" s="628"/>
      <c r="C203" s="623"/>
      <c r="D203" s="623" t="s">
        <v>756</v>
      </c>
      <c r="E203" s="627" t="s">
        <v>1059</v>
      </c>
      <c r="F203" s="664" t="s">
        <v>1060</v>
      </c>
      <c r="G203" s="665">
        <v>895</v>
      </c>
      <c r="H203" s="666">
        <v>1100</v>
      </c>
      <c r="I203" s="618"/>
      <c r="J203" s="619" t="s">
        <v>1059</v>
      </c>
      <c r="K203" s="618"/>
      <c r="L203" s="619">
        <v>139</v>
      </c>
      <c r="M203" s="620">
        <v>129</v>
      </c>
      <c r="N203" s="619"/>
      <c r="O203" s="619">
        <v>7</v>
      </c>
      <c r="P203" s="619" t="s">
        <v>760</v>
      </c>
      <c r="Q203" s="662"/>
      <c r="R203" s="618"/>
      <c r="S203" s="621" t="s">
        <v>1004</v>
      </c>
      <c r="T203" s="619" t="s">
        <v>1059</v>
      </c>
    </row>
    <row r="204" spans="1:20">
      <c r="A204" s="630">
        <v>8001100</v>
      </c>
      <c r="B204" s="628"/>
      <c r="C204" s="623"/>
      <c r="D204" s="623" t="s">
        <v>775</v>
      </c>
      <c r="E204" s="627" t="s">
        <v>1061</v>
      </c>
      <c r="F204" s="634" t="s">
        <v>1062</v>
      </c>
      <c r="G204" s="629">
        <v>800</v>
      </c>
      <c r="H204" s="635">
        <v>1100</v>
      </c>
      <c r="I204" s="618"/>
      <c r="J204" s="619" t="s">
        <v>1061</v>
      </c>
      <c r="K204" s="618"/>
      <c r="L204" s="619">
        <v>139</v>
      </c>
      <c r="M204" s="620">
        <v>129</v>
      </c>
      <c r="N204" s="619"/>
      <c r="O204" s="619">
        <v>7</v>
      </c>
      <c r="P204" s="619" t="s">
        <v>760</v>
      </c>
      <c r="Q204" s="662"/>
      <c r="R204" s="618"/>
      <c r="S204" s="621" t="s">
        <v>1004</v>
      </c>
      <c r="T204" s="619" t="s">
        <v>1061</v>
      </c>
    </row>
    <row r="205" spans="1:20">
      <c r="A205" s="622"/>
      <c r="B205" s="628"/>
      <c r="C205" s="629">
        <v>8</v>
      </c>
      <c r="D205" s="774" t="s">
        <v>1063</v>
      </c>
      <c r="E205" s="775"/>
      <c r="F205" s="626"/>
      <c r="G205" s="623"/>
      <c r="H205" s="627"/>
      <c r="I205" s="618"/>
      <c r="J205" s="618"/>
      <c r="K205" s="618"/>
      <c r="L205" s="618"/>
      <c r="M205" s="618"/>
      <c r="N205" s="618"/>
      <c r="O205" s="618"/>
      <c r="P205" s="618"/>
      <c r="Q205" s="662"/>
      <c r="R205" s="618"/>
      <c r="S205" s="621"/>
      <c r="T205" s="618"/>
    </row>
    <row r="206" spans="1:20">
      <c r="A206" s="630">
        <v>2101100</v>
      </c>
      <c r="B206" s="628"/>
      <c r="C206" s="623"/>
      <c r="D206" s="623" t="s">
        <v>756</v>
      </c>
      <c r="E206" s="627" t="s">
        <v>1064</v>
      </c>
      <c r="F206" s="631" t="s">
        <v>1065</v>
      </c>
      <c r="G206" s="663">
        <v>210</v>
      </c>
      <c r="H206" s="633">
        <v>1100</v>
      </c>
      <c r="I206" s="618"/>
      <c r="J206" s="619" t="s">
        <v>1064</v>
      </c>
      <c r="K206" s="618"/>
      <c r="L206" s="619">
        <v>89</v>
      </c>
      <c r="M206" s="620">
        <v>84</v>
      </c>
      <c r="N206" s="619"/>
      <c r="O206" s="619">
        <v>7</v>
      </c>
      <c r="P206" s="619" t="s">
        <v>760</v>
      </c>
      <c r="Q206" s="662" t="s">
        <v>1002</v>
      </c>
      <c r="R206" s="618"/>
      <c r="S206" s="621" t="s">
        <v>1004</v>
      </c>
      <c r="T206" s="619" t="s">
        <v>1064</v>
      </c>
    </row>
    <row r="207" spans="1:20">
      <c r="A207" s="630">
        <v>2201100</v>
      </c>
      <c r="B207" s="628"/>
      <c r="C207" s="623"/>
      <c r="D207" s="623" t="s">
        <v>775</v>
      </c>
      <c r="E207" s="627" t="s">
        <v>1066</v>
      </c>
      <c r="F207" s="631" t="s">
        <v>1067</v>
      </c>
      <c r="G207" s="661">
        <v>220</v>
      </c>
      <c r="H207" s="633">
        <v>1100</v>
      </c>
      <c r="I207" s="618"/>
      <c r="J207" s="619" t="s">
        <v>1066</v>
      </c>
      <c r="K207" s="618"/>
      <c r="L207" s="619">
        <v>90</v>
      </c>
      <c r="M207" s="620">
        <v>85</v>
      </c>
      <c r="N207" s="619"/>
      <c r="O207" s="619">
        <v>7</v>
      </c>
      <c r="P207" s="619" t="s">
        <v>760</v>
      </c>
      <c r="Q207" s="662" t="s">
        <v>1002</v>
      </c>
      <c r="R207" s="618"/>
      <c r="S207" s="621" t="s">
        <v>1004</v>
      </c>
      <c r="T207" s="619" t="s">
        <v>1066</v>
      </c>
    </row>
    <row r="208" spans="1:20">
      <c r="A208" s="630">
        <v>2251100</v>
      </c>
      <c r="B208" s="628"/>
      <c r="C208" s="623"/>
      <c r="D208" s="623" t="s">
        <v>799</v>
      </c>
      <c r="E208" s="627" t="s">
        <v>23</v>
      </c>
      <c r="F208" s="631" t="s">
        <v>1068</v>
      </c>
      <c r="G208" s="661">
        <v>225</v>
      </c>
      <c r="H208" s="633">
        <v>1100</v>
      </c>
      <c r="I208" s="618"/>
      <c r="J208" s="619" t="s">
        <v>23</v>
      </c>
      <c r="K208" s="618"/>
      <c r="L208" s="619">
        <v>91</v>
      </c>
      <c r="M208" s="620">
        <v>86</v>
      </c>
      <c r="N208" s="619"/>
      <c r="O208" s="619">
        <v>7</v>
      </c>
      <c r="P208" s="619" t="s">
        <v>760</v>
      </c>
      <c r="Q208" s="662" t="s">
        <v>1002</v>
      </c>
      <c r="R208" s="618"/>
      <c r="S208" s="621" t="s">
        <v>1004</v>
      </c>
      <c r="T208" s="619" t="s">
        <v>23</v>
      </c>
    </row>
    <row r="209" spans="1:20">
      <c r="A209" s="622"/>
      <c r="B209" s="628"/>
      <c r="C209" s="623"/>
      <c r="D209" s="623" t="s">
        <v>803</v>
      </c>
      <c r="E209" s="627" t="s">
        <v>1069</v>
      </c>
      <c r="F209" s="626"/>
      <c r="G209" s="623"/>
      <c r="H209" s="627"/>
      <c r="I209" s="618"/>
      <c r="J209" s="618"/>
      <c r="K209" s="618"/>
      <c r="L209" s="618"/>
      <c r="M209" s="618"/>
      <c r="N209" s="618"/>
      <c r="O209" s="618"/>
      <c r="P209" s="618"/>
      <c r="Q209" s="662"/>
      <c r="R209" s="618"/>
      <c r="S209" s="621"/>
      <c r="T209" s="618"/>
    </row>
    <row r="210" spans="1:20">
      <c r="A210" s="630">
        <v>2311100</v>
      </c>
      <c r="B210" s="628"/>
      <c r="C210" s="623"/>
      <c r="D210" s="623"/>
      <c r="E210" s="627" t="s">
        <v>1070</v>
      </c>
      <c r="F210" s="631" t="s">
        <v>1071</v>
      </c>
      <c r="G210" s="661">
        <v>231</v>
      </c>
      <c r="H210" s="633">
        <v>1100</v>
      </c>
      <c r="I210" s="618"/>
      <c r="J210" s="619" t="s">
        <v>1070</v>
      </c>
      <c r="K210" s="618"/>
      <c r="L210" s="619">
        <v>92</v>
      </c>
      <c r="M210" s="620">
        <v>87</v>
      </c>
      <c r="N210" s="619"/>
      <c r="O210" s="619">
        <v>7</v>
      </c>
      <c r="P210" s="619" t="s">
        <v>760</v>
      </c>
      <c r="Q210" s="662" t="s">
        <v>1002</v>
      </c>
      <c r="R210" s="618"/>
      <c r="S210" s="621" t="s">
        <v>1004</v>
      </c>
      <c r="T210" s="619" t="s">
        <v>1072</v>
      </c>
    </row>
    <row r="211" spans="1:20">
      <c r="A211" s="630">
        <v>2331100</v>
      </c>
      <c r="B211" s="628"/>
      <c r="C211" s="623"/>
      <c r="D211" s="623"/>
      <c r="E211" s="627" t="s">
        <v>1073</v>
      </c>
      <c r="F211" s="631" t="s">
        <v>1074</v>
      </c>
      <c r="G211" s="661">
        <v>233</v>
      </c>
      <c r="H211" s="633">
        <v>1100</v>
      </c>
      <c r="I211" s="618"/>
      <c r="J211" s="619" t="s">
        <v>1073</v>
      </c>
      <c r="K211" s="618"/>
      <c r="L211" s="619">
        <v>92</v>
      </c>
      <c r="M211" s="620">
        <v>87</v>
      </c>
      <c r="N211" s="619"/>
      <c r="O211" s="619">
        <v>7</v>
      </c>
      <c r="P211" s="619" t="s">
        <v>760</v>
      </c>
      <c r="Q211" s="662" t="s">
        <v>1002</v>
      </c>
      <c r="R211" s="618"/>
      <c r="S211" s="621" t="s">
        <v>1004</v>
      </c>
      <c r="T211" s="619" t="s">
        <v>1075</v>
      </c>
    </row>
    <row r="212" spans="1:20">
      <c r="A212" s="630">
        <v>2391100</v>
      </c>
      <c r="B212" s="628"/>
      <c r="C212" s="623"/>
      <c r="D212" s="623"/>
      <c r="E212" s="627" t="s">
        <v>1076</v>
      </c>
      <c r="F212" s="631" t="s">
        <v>1077</v>
      </c>
      <c r="G212" s="661">
        <v>239</v>
      </c>
      <c r="H212" s="633">
        <v>1100</v>
      </c>
      <c r="I212" s="618"/>
      <c r="J212" s="619" t="s">
        <v>1076</v>
      </c>
      <c r="K212" s="618"/>
      <c r="L212" s="619">
        <v>92</v>
      </c>
      <c r="M212" s="620">
        <v>87</v>
      </c>
      <c r="N212" s="619"/>
      <c r="O212" s="619">
        <v>7</v>
      </c>
      <c r="P212" s="619" t="s">
        <v>760</v>
      </c>
      <c r="Q212" s="662" t="s">
        <v>1002</v>
      </c>
      <c r="R212" s="618"/>
      <c r="S212" s="621" t="s">
        <v>1004</v>
      </c>
      <c r="T212" s="619" t="s">
        <v>1078</v>
      </c>
    </row>
    <row r="213" spans="1:20">
      <c r="A213" s="630">
        <v>2501100</v>
      </c>
      <c r="B213" s="628"/>
      <c r="C213" s="623"/>
      <c r="D213" s="623" t="s">
        <v>848</v>
      </c>
      <c r="E213" s="627" t="s">
        <v>1079</v>
      </c>
      <c r="F213" s="631" t="s">
        <v>1080</v>
      </c>
      <c r="G213" s="661">
        <v>250</v>
      </c>
      <c r="H213" s="633">
        <v>1100</v>
      </c>
      <c r="I213" s="618"/>
      <c r="J213" s="619" t="s">
        <v>1079</v>
      </c>
      <c r="K213" s="618"/>
      <c r="L213" s="619">
        <v>93</v>
      </c>
      <c r="M213" s="620">
        <v>88</v>
      </c>
      <c r="N213" s="619"/>
      <c r="O213" s="619">
        <v>7</v>
      </c>
      <c r="P213" s="619" t="s">
        <v>760</v>
      </c>
      <c r="Q213" s="662" t="s">
        <v>1002</v>
      </c>
      <c r="R213" s="618"/>
      <c r="S213" s="621" t="s">
        <v>1004</v>
      </c>
      <c r="T213" s="619" t="s">
        <v>1079</v>
      </c>
    </row>
    <row r="214" spans="1:20">
      <c r="A214" s="630">
        <v>2601100</v>
      </c>
      <c r="B214" s="628"/>
      <c r="C214" s="623"/>
      <c r="D214" s="623" t="s">
        <v>851</v>
      </c>
      <c r="E214" s="627" t="s">
        <v>1081</v>
      </c>
      <c r="F214" s="631" t="s">
        <v>1082</v>
      </c>
      <c r="G214" s="661">
        <v>260</v>
      </c>
      <c r="H214" s="633">
        <v>1100</v>
      </c>
      <c r="I214" s="618"/>
      <c r="J214" s="619" t="s">
        <v>1081</v>
      </c>
      <c r="K214" s="618"/>
      <c r="L214" s="619">
        <v>95</v>
      </c>
      <c r="M214" s="620">
        <v>90</v>
      </c>
      <c r="N214" s="619"/>
      <c r="O214" s="619">
        <v>7</v>
      </c>
      <c r="P214" s="619" t="s">
        <v>760</v>
      </c>
      <c r="Q214" s="662" t="s">
        <v>1002</v>
      </c>
      <c r="R214" s="618"/>
      <c r="S214" s="621" t="s">
        <v>1004</v>
      </c>
      <c r="T214" s="619" t="s">
        <v>1081</v>
      </c>
    </row>
    <row r="215" spans="1:20">
      <c r="A215" s="630">
        <v>2701100</v>
      </c>
      <c r="B215" s="628"/>
      <c r="C215" s="623"/>
      <c r="D215" s="623" t="s">
        <v>854</v>
      </c>
      <c r="E215" s="627" t="s">
        <v>1083</v>
      </c>
      <c r="F215" s="631" t="s">
        <v>1084</v>
      </c>
      <c r="G215" s="661">
        <v>270</v>
      </c>
      <c r="H215" s="633">
        <v>1100</v>
      </c>
      <c r="I215" s="618"/>
      <c r="J215" s="619" t="s">
        <v>1083</v>
      </c>
      <c r="K215" s="618"/>
      <c r="L215" s="619">
        <v>94</v>
      </c>
      <c r="M215" s="620">
        <v>89</v>
      </c>
      <c r="N215" s="619"/>
      <c r="O215" s="619">
        <v>7</v>
      </c>
      <c r="P215" s="619" t="s">
        <v>760</v>
      </c>
      <c r="Q215" s="662" t="s">
        <v>1002</v>
      </c>
      <c r="R215" s="618"/>
      <c r="S215" s="621" t="s">
        <v>1004</v>
      </c>
      <c r="T215" s="619" t="s">
        <v>1083</v>
      </c>
    </row>
    <row r="216" spans="1:20">
      <c r="A216" s="630">
        <v>2811100</v>
      </c>
      <c r="B216" s="628"/>
      <c r="C216" s="623"/>
      <c r="D216" s="623" t="s">
        <v>857</v>
      </c>
      <c r="E216" s="627" t="s">
        <v>1085</v>
      </c>
      <c r="F216" s="631" t="s">
        <v>1086</v>
      </c>
      <c r="G216" s="661">
        <v>281</v>
      </c>
      <c r="H216" s="633">
        <v>1100</v>
      </c>
      <c r="I216" s="618"/>
      <c r="J216" s="619" t="s">
        <v>1085</v>
      </c>
      <c r="K216" s="618"/>
      <c r="L216" s="619">
        <v>95</v>
      </c>
      <c r="M216" s="620">
        <v>90</v>
      </c>
      <c r="N216" s="619"/>
      <c r="O216" s="619">
        <v>7</v>
      </c>
      <c r="P216" s="619" t="s">
        <v>760</v>
      </c>
      <c r="Q216" s="662" t="s">
        <v>1002</v>
      </c>
      <c r="R216" s="618"/>
      <c r="S216" s="621" t="s">
        <v>1004</v>
      </c>
      <c r="T216" s="619" t="s">
        <v>1085</v>
      </c>
    </row>
    <row r="217" spans="1:20">
      <c r="A217" s="630">
        <v>2821100</v>
      </c>
      <c r="B217" s="628"/>
      <c r="C217" s="623"/>
      <c r="D217" s="623" t="s">
        <v>860</v>
      </c>
      <c r="E217" s="627" t="s">
        <v>1087</v>
      </c>
      <c r="F217" s="631" t="s">
        <v>1088</v>
      </c>
      <c r="G217" s="661">
        <v>282</v>
      </c>
      <c r="H217" s="633">
        <v>1100</v>
      </c>
      <c r="I217" s="618"/>
      <c r="J217" s="619" t="s">
        <v>1087</v>
      </c>
      <c r="K217" s="618"/>
      <c r="L217" s="619">
        <v>95</v>
      </c>
      <c r="M217" s="620">
        <v>90</v>
      </c>
      <c r="N217" s="619"/>
      <c r="O217" s="619">
        <v>7</v>
      </c>
      <c r="P217" s="619" t="s">
        <v>760</v>
      </c>
      <c r="Q217" s="662" t="s">
        <v>1002</v>
      </c>
      <c r="R217" s="618"/>
      <c r="S217" s="621" t="s">
        <v>1004</v>
      </c>
      <c r="T217" s="619" t="s">
        <v>1087</v>
      </c>
    </row>
    <row r="218" spans="1:20" ht="16" thickBot="1">
      <c r="A218" s="630">
        <v>2901100</v>
      </c>
      <c r="B218" s="667"/>
      <c r="C218" s="623"/>
      <c r="D218" s="623" t="s">
        <v>1089</v>
      </c>
      <c r="E218" s="627" t="s">
        <v>1090</v>
      </c>
      <c r="F218" s="631" t="s">
        <v>1091</v>
      </c>
      <c r="G218" s="661">
        <v>290</v>
      </c>
      <c r="H218" s="633">
        <v>1100</v>
      </c>
      <c r="I218" s="618"/>
      <c r="J218" s="619" t="s">
        <v>1090</v>
      </c>
      <c r="K218" s="618"/>
      <c r="L218" s="619">
        <v>95</v>
      </c>
      <c r="M218" s="620">
        <v>90</v>
      </c>
      <c r="N218" s="619"/>
      <c r="O218" s="619">
        <v>7</v>
      </c>
      <c r="P218" s="619" t="s">
        <v>760</v>
      </c>
      <c r="Q218" s="662" t="s">
        <v>1002</v>
      </c>
      <c r="R218" s="618"/>
      <c r="S218" s="621" t="s">
        <v>1004</v>
      </c>
      <c r="T218" s="619" t="s">
        <v>1090</v>
      </c>
    </row>
    <row r="219" spans="1:20" ht="16.5" thickTop="1" thickBot="1">
      <c r="A219" s="622"/>
      <c r="B219" s="613"/>
      <c r="C219" s="772" t="s">
        <v>1092</v>
      </c>
      <c r="D219" s="773"/>
      <c r="E219" s="782"/>
      <c r="F219" s="656" t="s">
        <v>602</v>
      </c>
      <c r="G219" s="657"/>
      <c r="H219" s="658"/>
      <c r="I219" s="618"/>
      <c r="J219" s="618"/>
      <c r="K219" s="618"/>
      <c r="L219" s="618"/>
      <c r="M219" s="618"/>
      <c r="N219" s="618"/>
      <c r="O219" s="618"/>
      <c r="P219" s="618"/>
      <c r="Q219" s="662"/>
      <c r="R219" s="618"/>
      <c r="S219" s="621"/>
      <c r="T219" s="618"/>
    </row>
    <row r="220" spans="1:20" ht="16" thickTop="1">
      <c r="A220" s="622"/>
      <c r="B220" s="623"/>
      <c r="C220" s="623"/>
      <c r="D220" s="623"/>
      <c r="E220" s="627"/>
      <c r="F220" s="626"/>
      <c r="G220" s="623"/>
      <c r="H220" s="627"/>
      <c r="I220" s="618"/>
      <c r="J220" s="618"/>
      <c r="K220" s="618"/>
      <c r="L220" s="618"/>
      <c r="M220" s="618"/>
      <c r="N220" s="618"/>
      <c r="O220" s="618"/>
      <c r="P220" s="618"/>
      <c r="Q220" s="662"/>
      <c r="R220" s="618"/>
      <c r="S220" s="621"/>
      <c r="T220" s="618"/>
    </row>
    <row r="221" spans="1:20">
      <c r="A221" s="622"/>
      <c r="B221" s="628" t="s">
        <v>1093</v>
      </c>
      <c r="C221" s="770" t="s">
        <v>663</v>
      </c>
      <c r="D221" s="771"/>
      <c r="E221" s="775"/>
      <c r="F221" s="626"/>
      <c r="G221" s="623"/>
      <c r="H221" s="627"/>
      <c r="I221" s="618"/>
      <c r="J221" s="618"/>
      <c r="K221" s="618"/>
      <c r="L221" s="618"/>
      <c r="M221" s="618"/>
      <c r="N221" s="618"/>
      <c r="O221" s="618"/>
      <c r="P221" s="618"/>
      <c r="Q221" s="662"/>
      <c r="R221" s="618"/>
      <c r="S221" s="621"/>
      <c r="T221" s="618"/>
    </row>
    <row r="222" spans="1:20">
      <c r="A222" s="622"/>
      <c r="B222" s="628"/>
      <c r="C222" s="629">
        <v>9</v>
      </c>
      <c r="D222" s="774" t="s">
        <v>1094</v>
      </c>
      <c r="E222" s="775"/>
      <c r="F222" s="626"/>
      <c r="G222" s="623"/>
      <c r="H222" s="627"/>
      <c r="I222" s="618"/>
      <c r="J222" s="618"/>
      <c r="K222" s="618"/>
      <c r="L222" s="618"/>
      <c r="M222" s="618"/>
      <c r="N222" s="618"/>
      <c r="O222" s="618"/>
      <c r="P222" s="618"/>
      <c r="Q222" s="662"/>
      <c r="R222" s="618"/>
      <c r="S222" s="621"/>
      <c r="T222" s="618"/>
    </row>
    <row r="223" spans="1:20">
      <c r="A223" s="622"/>
      <c r="B223" s="628"/>
      <c r="C223" s="623"/>
      <c r="D223" s="774" t="s">
        <v>1095</v>
      </c>
      <c r="E223" s="775"/>
      <c r="F223" s="626"/>
      <c r="G223" s="623"/>
      <c r="H223" s="627"/>
      <c r="I223" s="618"/>
      <c r="J223" s="618"/>
      <c r="K223" s="618"/>
      <c r="L223" s="618"/>
      <c r="M223" s="618"/>
      <c r="N223" s="618"/>
      <c r="O223" s="618"/>
      <c r="P223" s="618"/>
      <c r="Q223" s="662"/>
      <c r="R223" s="618"/>
      <c r="S223" s="621"/>
      <c r="T223" s="618"/>
    </row>
    <row r="224" spans="1:20">
      <c r="A224" s="622"/>
      <c r="B224" s="628"/>
      <c r="C224" s="623"/>
      <c r="D224" s="623" t="s">
        <v>756</v>
      </c>
      <c r="E224" s="627" t="s">
        <v>244</v>
      </c>
      <c r="F224" s="626"/>
      <c r="G224" s="623"/>
      <c r="H224" s="627"/>
      <c r="I224" s="618"/>
      <c r="J224" s="618"/>
      <c r="K224" s="618"/>
      <c r="L224" s="618"/>
      <c r="M224" s="618"/>
      <c r="N224" s="618"/>
      <c r="O224" s="618"/>
      <c r="P224" s="618"/>
      <c r="Q224" s="662"/>
      <c r="R224" s="618"/>
      <c r="S224" s="621"/>
      <c r="T224" s="618"/>
    </row>
    <row r="225" spans="1:20">
      <c r="A225" s="630">
        <v>1121210</v>
      </c>
      <c r="B225" s="628"/>
      <c r="C225" s="623"/>
      <c r="D225" s="623"/>
      <c r="E225" s="627" t="s">
        <v>1096</v>
      </c>
      <c r="F225" s="631" t="s">
        <v>1097</v>
      </c>
      <c r="G225" s="661">
        <v>112</v>
      </c>
      <c r="H225" s="633">
        <v>1210</v>
      </c>
      <c r="I225" s="618"/>
      <c r="J225" s="619" t="s">
        <v>1096</v>
      </c>
      <c r="K225" s="618"/>
      <c r="L225" s="619">
        <v>82</v>
      </c>
      <c r="M225" s="620">
        <v>77</v>
      </c>
      <c r="N225" s="619"/>
      <c r="O225" s="619">
        <v>8</v>
      </c>
      <c r="P225" s="619" t="s">
        <v>1098</v>
      </c>
      <c r="Q225" s="662" t="s">
        <v>1002</v>
      </c>
      <c r="R225" s="618"/>
      <c r="S225" s="621" t="s">
        <v>4</v>
      </c>
      <c r="T225" s="619" t="s">
        <v>5</v>
      </c>
    </row>
    <row r="226" spans="1:20">
      <c r="A226" s="630">
        <v>1151210</v>
      </c>
      <c r="B226" s="628"/>
      <c r="C226" s="623"/>
      <c r="D226" s="623"/>
      <c r="E226" s="627" t="s">
        <v>1099</v>
      </c>
      <c r="F226" s="631" t="s">
        <v>1100</v>
      </c>
      <c r="G226" s="661">
        <v>115</v>
      </c>
      <c r="H226" s="633">
        <v>1210</v>
      </c>
      <c r="I226" s="618"/>
      <c r="J226" s="619" t="s">
        <v>1099</v>
      </c>
      <c r="K226" s="618"/>
      <c r="L226" s="619">
        <v>86</v>
      </c>
      <c r="M226" s="620">
        <v>81</v>
      </c>
      <c r="N226" s="619"/>
      <c r="O226" s="619">
        <v>8</v>
      </c>
      <c r="P226" s="619" t="s">
        <v>1098</v>
      </c>
      <c r="Q226" s="662" t="s">
        <v>1002</v>
      </c>
      <c r="R226" s="618"/>
      <c r="S226" s="621" t="s">
        <v>4</v>
      </c>
      <c r="T226" s="619" t="s">
        <v>1101</v>
      </c>
    </row>
    <row r="227" spans="1:20">
      <c r="A227" s="630">
        <v>1231210</v>
      </c>
      <c r="B227" s="628"/>
      <c r="C227" s="623"/>
      <c r="D227" s="623"/>
      <c r="E227" s="627" t="s">
        <v>1102</v>
      </c>
      <c r="F227" s="631" t="s">
        <v>1103</v>
      </c>
      <c r="G227" s="661">
        <v>123</v>
      </c>
      <c r="H227" s="633">
        <v>1210</v>
      </c>
      <c r="I227" s="618"/>
      <c r="J227" s="619" t="s">
        <v>1102</v>
      </c>
      <c r="K227" s="618"/>
      <c r="L227" s="619">
        <v>86</v>
      </c>
      <c r="M227" s="620">
        <v>81</v>
      </c>
      <c r="N227" s="619"/>
      <c r="O227" s="619">
        <v>8</v>
      </c>
      <c r="P227" s="619" t="s">
        <v>1098</v>
      </c>
      <c r="Q227" s="662" t="s">
        <v>1002</v>
      </c>
      <c r="R227" s="618"/>
      <c r="S227" s="621" t="s">
        <v>4</v>
      </c>
      <c r="T227" s="619" t="s">
        <v>1104</v>
      </c>
    </row>
    <row r="228" spans="1:20">
      <c r="A228" s="630">
        <v>1201210</v>
      </c>
      <c r="B228" s="628"/>
      <c r="C228" s="623"/>
      <c r="D228" s="623"/>
      <c r="E228" s="627" t="s">
        <v>1105</v>
      </c>
      <c r="F228" s="631" t="s">
        <v>1106</v>
      </c>
      <c r="G228" s="661">
        <v>120</v>
      </c>
      <c r="H228" s="633">
        <v>1210</v>
      </c>
      <c r="I228" s="618"/>
      <c r="J228" s="619" t="s">
        <v>1105</v>
      </c>
      <c r="K228" s="618"/>
      <c r="L228" s="619">
        <v>86</v>
      </c>
      <c r="M228" s="620">
        <v>81</v>
      </c>
      <c r="N228" s="619"/>
      <c r="O228" s="619">
        <v>8</v>
      </c>
      <c r="P228" s="619" t="s">
        <v>1098</v>
      </c>
      <c r="Q228" s="662" t="s">
        <v>1002</v>
      </c>
      <c r="R228" s="618"/>
      <c r="S228" s="621" t="s">
        <v>4</v>
      </c>
      <c r="T228" s="619" t="s">
        <v>1107</v>
      </c>
    </row>
    <row r="229" spans="1:20">
      <c r="A229" s="630">
        <v>1001210</v>
      </c>
      <c r="B229" s="628"/>
      <c r="C229" s="623"/>
      <c r="D229" s="623"/>
      <c r="E229" s="627" t="s">
        <v>1108</v>
      </c>
      <c r="F229" s="631" t="s">
        <v>1109</v>
      </c>
      <c r="G229" s="661">
        <v>100</v>
      </c>
      <c r="H229" s="633">
        <v>1210</v>
      </c>
      <c r="I229" s="618"/>
      <c r="J229" s="619" t="s">
        <v>1108</v>
      </c>
      <c r="K229" s="618"/>
      <c r="L229" s="619">
        <v>86</v>
      </c>
      <c r="M229" s="620">
        <v>81</v>
      </c>
      <c r="N229" s="619"/>
      <c r="O229" s="619">
        <v>8</v>
      </c>
      <c r="P229" s="619" t="s">
        <v>1098</v>
      </c>
      <c r="Q229" s="662" t="s">
        <v>1002</v>
      </c>
      <c r="R229" s="618"/>
      <c r="S229" s="621" t="s">
        <v>4</v>
      </c>
      <c r="T229" s="619" t="s">
        <v>1015</v>
      </c>
    </row>
    <row r="230" spans="1:20">
      <c r="A230" s="630">
        <v>1401210</v>
      </c>
      <c r="B230" s="628"/>
      <c r="C230" s="623"/>
      <c r="D230" s="623"/>
      <c r="E230" s="627" t="s">
        <v>1110</v>
      </c>
      <c r="F230" s="631" t="s">
        <v>1111</v>
      </c>
      <c r="G230" s="661">
        <v>140</v>
      </c>
      <c r="H230" s="633">
        <v>1210</v>
      </c>
      <c r="I230" s="618"/>
      <c r="J230" s="619" t="s">
        <v>1110</v>
      </c>
      <c r="K230" s="618"/>
      <c r="L230" s="619">
        <v>86</v>
      </c>
      <c r="M230" s="620">
        <v>81</v>
      </c>
      <c r="N230" s="619"/>
      <c r="O230" s="619">
        <v>8</v>
      </c>
      <c r="P230" s="619" t="s">
        <v>1098</v>
      </c>
      <c r="Q230" s="662" t="s">
        <v>1002</v>
      </c>
      <c r="R230" s="618"/>
      <c r="S230" s="621" t="s">
        <v>4</v>
      </c>
      <c r="T230" s="619" t="s">
        <v>1017</v>
      </c>
    </row>
    <row r="231" spans="1:20">
      <c r="A231" s="630">
        <v>3001210</v>
      </c>
      <c r="B231" s="628"/>
      <c r="C231" s="623"/>
      <c r="D231" s="623" t="s">
        <v>775</v>
      </c>
      <c r="E231" s="627" t="s">
        <v>1112</v>
      </c>
      <c r="F231" s="631" t="s">
        <v>1113</v>
      </c>
      <c r="G231" s="661">
        <v>300</v>
      </c>
      <c r="H231" s="633">
        <v>1210</v>
      </c>
      <c r="I231" s="618"/>
      <c r="J231" s="619" t="s">
        <v>1112</v>
      </c>
      <c r="K231" s="618"/>
      <c r="L231" s="619">
        <v>101</v>
      </c>
      <c r="M231" s="620">
        <v>96</v>
      </c>
      <c r="N231" s="619"/>
      <c r="O231" s="619">
        <v>8</v>
      </c>
      <c r="P231" s="619" t="s">
        <v>1098</v>
      </c>
      <c r="Q231" s="662"/>
      <c r="R231" s="618"/>
      <c r="S231" s="621" t="s">
        <v>4</v>
      </c>
      <c r="T231" s="619" t="s">
        <v>1112</v>
      </c>
    </row>
    <row r="232" spans="1:20">
      <c r="A232" s="622"/>
      <c r="B232" s="628"/>
      <c r="C232" s="623"/>
      <c r="D232" s="623" t="s">
        <v>799</v>
      </c>
      <c r="E232" s="627" t="s">
        <v>250</v>
      </c>
      <c r="F232" s="626"/>
      <c r="G232" s="623"/>
      <c r="H232" s="627"/>
      <c r="I232" s="618"/>
      <c r="J232" s="618"/>
      <c r="K232" s="618"/>
      <c r="L232" s="618"/>
      <c r="M232" s="618"/>
      <c r="N232" s="618"/>
      <c r="O232" s="618"/>
      <c r="P232" s="618"/>
      <c r="Q232" s="662"/>
      <c r="R232" s="618"/>
      <c r="S232" s="621"/>
      <c r="T232" s="618"/>
    </row>
    <row r="233" spans="1:20">
      <c r="A233" s="630">
        <v>4301210</v>
      </c>
      <c r="B233" s="628"/>
      <c r="C233" s="623"/>
      <c r="D233" s="623"/>
      <c r="E233" s="627" t="s">
        <v>1114</v>
      </c>
      <c r="F233" s="631" t="s">
        <v>1115</v>
      </c>
      <c r="G233" s="661">
        <v>430</v>
      </c>
      <c r="H233" s="633">
        <v>1210</v>
      </c>
      <c r="I233" s="618"/>
      <c r="J233" s="619" t="s">
        <v>1114</v>
      </c>
      <c r="K233" s="618"/>
      <c r="L233" s="619">
        <v>107</v>
      </c>
      <c r="M233" s="620">
        <v>102</v>
      </c>
      <c r="N233" s="619"/>
      <c r="O233" s="619">
        <v>8</v>
      </c>
      <c r="P233" s="619" t="s">
        <v>1098</v>
      </c>
      <c r="Q233" s="662"/>
      <c r="R233" s="618"/>
      <c r="S233" s="621" t="s">
        <v>4</v>
      </c>
      <c r="T233" s="619" t="s">
        <v>1021</v>
      </c>
    </row>
    <row r="234" spans="1:20">
      <c r="A234" s="630">
        <v>4421210</v>
      </c>
      <c r="B234" s="628"/>
      <c r="C234" s="623"/>
      <c r="D234" s="623"/>
      <c r="E234" s="627" t="s">
        <v>1116</v>
      </c>
      <c r="F234" s="631" t="s">
        <v>1117</v>
      </c>
      <c r="G234" s="661">
        <v>442</v>
      </c>
      <c r="H234" s="633">
        <v>1210</v>
      </c>
      <c r="I234" s="618"/>
      <c r="J234" s="619" t="s">
        <v>1116</v>
      </c>
      <c r="K234" s="618"/>
      <c r="L234" s="619">
        <v>106</v>
      </c>
      <c r="M234" s="620">
        <v>101</v>
      </c>
      <c r="N234" s="619"/>
      <c r="O234" s="619">
        <v>8</v>
      </c>
      <c r="P234" s="619" t="s">
        <v>1098</v>
      </c>
      <c r="Q234" s="662"/>
      <c r="R234" s="618"/>
      <c r="S234" s="621" t="s">
        <v>4</v>
      </c>
      <c r="T234" s="619" t="s">
        <v>1023</v>
      </c>
    </row>
    <row r="235" spans="1:20">
      <c r="A235" s="630">
        <v>4001210</v>
      </c>
      <c r="B235" s="628"/>
      <c r="C235" s="623"/>
      <c r="D235" s="623"/>
      <c r="E235" s="627" t="s">
        <v>1118</v>
      </c>
      <c r="F235" s="631" t="s">
        <v>1119</v>
      </c>
      <c r="G235" s="661">
        <v>400</v>
      </c>
      <c r="H235" s="633">
        <v>1210</v>
      </c>
      <c r="I235" s="618"/>
      <c r="J235" s="619" t="s">
        <v>1118</v>
      </c>
      <c r="K235" s="618"/>
      <c r="L235" s="619">
        <v>108</v>
      </c>
      <c r="M235" s="620">
        <v>103</v>
      </c>
      <c r="N235" s="619"/>
      <c r="O235" s="619">
        <v>8</v>
      </c>
      <c r="P235" s="619" t="s">
        <v>1098</v>
      </c>
      <c r="Q235" s="662"/>
      <c r="R235" s="618"/>
      <c r="S235" s="621" t="s">
        <v>4</v>
      </c>
      <c r="T235" s="619" t="s">
        <v>1025</v>
      </c>
    </row>
    <row r="236" spans="1:20">
      <c r="A236" s="622"/>
      <c r="B236" s="628"/>
      <c r="C236" s="623"/>
      <c r="D236" s="623" t="s">
        <v>803</v>
      </c>
      <c r="E236" s="627" t="s">
        <v>252</v>
      </c>
      <c r="F236" s="626"/>
      <c r="G236" s="623"/>
      <c r="H236" s="627"/>
      <c r="I236" s="618"/>
      <c r="J236" s="618"/>
      <c r="K236" s="618"/>
      <c r="L236" s="618"/>
      <c r="M236" s="618"/>
      <c r="N236" s="618"/>
      <c r="O236" s="618"/>
      <c r="P236" s="618"/>
      <c r="Q236" s="662"/>
      <c r="R236" s="618"/>
      <c r="S236" s="621"/>
      <c r="T236" s="618"/>
    </row>
    <row r="237" spans="1:20">
      <c r="A237" s="622"/>
      <c r="B237" s="628"/>
      <c r="C237" s="623"/>
      <c r="D237" s="623"/>
      <c r="E237" s="627" t="s">
        <v>1120</v>
      </c>
      <c r="F237" s="626"/>
      <c r="G237" s="623"/>
      <c r="H237" s="627"/>
      <c r="I237" s="618"/>
      <c r="J237" s="618"/>
      <c r="K237" s="618"/>
      <c r="L237" s="618"/>
      <c r="M237" s="618"/>
      <c r="N237" s="618"/>
      <c r="O237" s="618"/>
      <c r="P237" s="618"/>
      <c r="Q237" s="662"/>
      <c r="R237" s="618"/>
      <c r="S237" s="621"/>
      <c r="T237" s="618"/>
    </row>
    <row r="238" spans="1:20">
      <c r="A238" s="630">
        <v>5611210</v>
      </c>
      <c r="B238" s="628"/>
      <c r="C238" s="623"/>
      <c r="D238" s="623"/>
      <c r="E238" s="627" t="s">
        <v>1121</v>
      </c>
      <c r="F238" s="631" t="s">
        <v>1122</v>
      </c>
      <c r="G238" s="661">
        <v>561</v>
      </c>
      <c r="H238" s="633">
        <v>1210</v>
      </c>
      <c r="I238" s="618"/>
      <c r="J238" s="619" t="s">
        <v>1121</v>
      </c>
      <c r="K238" s="618"/>
      <c r="L238" s="619">
        <v>119</v>
      </c>
      <c r="M238" s="620">
        <v>110</v>
      </c>
      <c r="N238" s="619"/>
      <c r="O238" s="619">
        <v>8</v>
      </c>
      <c r="P238" s="619" t="s">
        <v>1098</v>
      </c>
      <c r="Q238" s="662"/>
      <c r="R238" s="618"/>
      <c r="S238" s="621" t="s">
        <v>4</v>
      </c>
      <c r="T238" s="619" t="s">
        <v>1030</v>
      </c>
    </row>
    <row r="239" spans="1:20">
      <c r="A239" s="630">
        <v>5621210</v>
      </c>
      <c r="B239" s="628"/>
      <c r="C239" s="623"/>
      <c r="D239" s="623"/>
      <c r="E239" s="627" t="s">
        <v>1123</v>
      </c>
      <c r="F239" s="631" t="s">
        <v>1124</v>
      </c>
      <c r="G239" s="661">
        <v>562</v>
      </c>
      <c r="H239" s="633">
        <v>1210</v>
      </c>
      <c r="I239" s="618"/>
      <c r="J239" s="619" t="s">
        <v>1123</v>
      </c>
      <c r="K239" s="618"/>
      <c r="L239" s="619">
        <v>119</v>
      </c>
      <c r="M239" s="620">
        <v>110</v>
      </c>
      <c r="N239" s="619"/>
      <c r="O239" s="619">
        <v>8</v>
      </c>
      <c r="P239" s="619" t="s">
        <v>1098</v>
      </c>
      <c r="Q239" s="662"/>
      <c r="R239" s="618"/>
      <c r="S239" s="621" t="s">
        <v>4</v>
      </c>
      <c r="T239" s="619" t="s">
        <v>1033</v>
      </c>
    </row>
    <row r="240" spans="1:20">
      <c r="A240" s="630">
        <v>5631210</v>
      </c>
      <c r="B240" s="628"/>
      <c r="C240" s="623"/>
      <c r="D240" s="623"/>
      <c r="E240" s="627" t="s">
        <v>1125</v>
      </c>
      <c r="F240" s="631" t="s">
        <v>1126</v>
      </c>
      <c r="G240" s="661">
        <v>563</v>
      </c>
      <c r="H240" s="633">
        <v>1210</v>
      </c>
      <c r="I240" s="618"/>
      <c r="J240" s="619" t="s">
        <v>1125</v>
      </c>
      <c r="K240" s="618"/>
      <c r="L240" s="619">
        <v>119</v>
      </c>
      <c r="M240" s="620">
        <v>110</v>
      </c>
      <c r="N240" s="619"/>
      <c r="O240" s="619">
        <v>8</v>
      </c>
      <c r="P240" s="619" t="s">
        <v>1098</v>
      </c>
      <c r="Q240" s="662"/>
      <c r="R240" s="618"/>
      <c r="S240" s="621" t="s">
        <v>4</v>
      </c>
      <c r="T240" s="619" t="s">
        <v>1127</v>
      </c>
    </row>
    <row r="241" spans="1:20">
      <c r="A241" s="630">
        <v>5661210</v>
      </c>
      <c r="B241" s="628"/>
      <c r="C241" s="623"/>
      <c r="D241" s="623"/>
      <c r="E241" s="627" t="s">
        <v>1128</v>
      </c>
      <c r="F241" s="631" t="s">
        <v>1129</v>
      </c>
      <c r="G241" s="661">
        <v>566</v>
      </c>
      <c r="H241" s="633">
        <v>1210</v>
      </c>
      <c r="I241" s="618"/>
      <c r="J241" s="619" t="s">
        <v>1128</v>
      </c>
      <c r="K241" s="618"/>
      <c r="L241" s="619">
        <v>119</v>
      </c>
      <c r="M241" s="620">
        <v>110</v>
      </c>
      <c r="N241" s="619"/>
      <c r="O241" s="619">
        <v>8</v>
      </c>
      <c r="P241" s="619" t="s">
        <v>760</v>
      </c>
      <c r="Q241" s="662"/>
      <c r="R241" s="618"/>
      <c r="S241" s="621" t="s">
        <v>4</v>
      </c>
      <c r="T241" s="619" t="s">
        <v>1130</v>
      </c>
    </row>
    <row r="242" spans="1:20">
      <c r="A242" s="630">
        <v>5671210</v>
      </c>
      <c r="B242" s="628"/>
      <c r="C242" s="623"/>
      <c r="D242" s="623"/>
      <c r="E242" s="627" t="s">
        <v>1131</v>
      </c>
      <c r="F242" s="631" t="s">
        <v>1132</v>
      </c>
      <c r="G242" s="661">
        <v>567</v>
      </c>
      <c r="H242" s="633">
        <v>1210</v>
      </c>
      <c r="I242" s="618"/>
      <c r="J242" s="619" t="s">
        <v>1131</v>
      </c>
      <c r="K242" s="618"/>
      <c r="L242" s="619">
        <v>119</v>
      </c>
      <c r="M242" s="620">
        <v>110</v>
      </c>
      <c r="N242" s="619"/>
      <c r="O242" s="619">
        <v>8</v>
      </c>
      <c r="P242" s="619" t="s">
        <v>760</v>
      </c>
      <c r="Q242" s="662"/>
      <c r="R242" s="618"/>
      <c r="S242" s="621" t="s">
        <v>4</v>
      </c>
      <c r="T242" s="619" t="s">
        <v>1133</v>
      </c>
    </row>
    <row r="243" spans="1:20">
      <c r="A243" s="630">
        <v>5821210</v>
      </c>
      <c r="B243" s="628"/>
      <c r="C243" s="623"/>
      <c r="D243" s="623"/>
      <c r="E243" s="627" t="s">
        <v>1134</v>
      </c>
      <c r="F243" s="631" t="s">
        <v>1135</v>
      </c>
      <c r="G243" s="661">
        <v>582</v>
      </c>
      <c r="H243" s="633">
        <v>1210</v>
      </c>
      <c r="I243" s="618"/>
      <c r="J243" s="619" t="s">
        <v>1134</v>
      </c>
      <c r="K243" s="618"/>
      <c r="L243" s="619">
        <v>118</v>
      </c>
      <c r="M243" s="620">
        <v>109</v>
      </c>
      <c r="N243" s="619"/>
      <c r="O243" s="619">
        <v>8</v>
      </c>
      <c r="P243" s="619" t="s">
        <v>1098</v>
      </c>
      <c r="Q243" s="662"/>
      <c r="R243" s="618"/>
      <c r="S243" s="621" t="s">
        <v>4</v>
      </c>
      <c r="T243" s="619" t="s">
        <v>1037</v>
      </c>
    </row>
    <row r="244" spans="1:20">
      <c r="A244" s="630">
        <v>5001210</v>
      </c>
      <c r="B244" s="628"/>
      <c r="C244" s="623"/>
      <c r="D244" s="623"/>
      <c r="E244" s="627" t="s">
        <v>1136</v>
      </c>
      <c r="F244" s="634" t="s">
        <v>1137</v>
      </c>
      <c r="G244" s="629">
        <v>500</v>
      </c>
      <c r="H244" s="635">
        <v>1210</v>
      </c>
      <c r="I244" s="618"/>
      <c r="J244" s="619" t="s">
        <v>1136</v>
      </c>
      <c r="K244" s="618"/>
      <c r="L244" s="619">
        <v>119</v>
      </c>
      <c r="M244" s="620">
        <v>110</v>
      </c>
      <c r="N244" s="619"/>
      <c r="O244" s="619">
        <v>8</v>
      </c>
      <c r="P244" s="619" t="s">
        <v>1098</v>
      </c>
      <c r="Q244" s="662"/>
      <c r="R244" s="618"/>
      <c r="S244" s="621" t="s">
        <v>4</v>
      </c>
      <c r="T244" s="619" t="s">
        <v>252</v>
      </c>
    </row>
    <row r="245" spans="1:20">
      <c r="A245" s="622"/>
      <c r="B245" s="628"/>
      <c r="C245" s="623"/>
      <c r="D245" s="623" t="s">
        <v>848</v>
      </c>
      <c r="E245" s="627" t="s">
        <v>1040</v>
      </c>
      <c r="F245" s="626"/>
      <c r="G245" s="623"/>
      <c r="H245" s="627"/>
      <c r="I245" s="618"/>
      <c r="J245" s="618"/>
      <c r="K245" s="618"/>
      <c r="L245" s="618"/>
      <c r="M245" s="618"/>
      <c r="N245" s="618"/>
      <c r="O245" s="618"/>
      <c r="P245" s="618"/>
      <c r="Q245" s="662"/>
      <c r="R245" s="618"/>
      <c r="S245" s="621"/>
      <c r="T245" s="618"/>
    </row>
    <row r="246" spans="1:20">
      <c r="A246" s="630">
        <v>6151210</v>
      </c>
      <c r="B246" s="628"/>
      <c r="C246" s="623"/>
      <c r="D246" s="623"/>
      <c r="E246" s="668" t="s">
        <v>1138</v>
      </c>
      <c r="F246" s="631" t="s">
        <v>1139</v>
      </c>
      <c r="G246" s="661">
        <v>615</v>
      </c>
      <c r="H246" s="633">
        <v>1210</v>
      </c>
      <c r="I246" s="618"/>
      <c r="J246" s="619" t="s">
        <v>1138</v>
      </c>
      <c r="K246" s="618"/>
      <c r="L246" s="619">
        <v>126</v>
      </c>
      <c r="M246" s="620">
        <v>117</v>
      </c>
      <c r="N246" s="619"/>
      <c r="O246" s="619">
        <v>8</v>
      </c>
      <c r="P246" s="619" t="s">
        <v>1098</v>
      </c>
      <c r="Q246" s="662" t="s">
        <v>1043</v>
      </c>
      <c r="R246" s="618"/>
      <c r="S246" s="621" t="s">
        <v>4</v>
      </c>
      <c r="T246" s="619" t="s">
        <v>1041</v>
      </c>
    </row>
    <row r="247" spans="1:20">
      <c r="A247" s="630">
        <v>6101210</v>
      </c>
      <c r="B247" s="628"/>
      <c r="C247" s="623"/>
      <c r="D247" s="623"/>
      <c r="E247" s="669" t="s">
        <v>1140</v>
      </c>
      <c r="F247" s="631" t="s">
        <v>1141</v>
      </c>
      <c r="G247" s="661">
        <v>610</v>
      </c>
      <c r="H247" s="633">
        <v>1210</v>
      </c>
      <c r="I247" s="618"/>
      <c r="J247" s="619" t="s">
        <v>1140</v>
      </c>
      <c r="K247" s="618"/>
      <c r="L247" s="619">
        <v>122</v>
      </c>
      <c r="M247" s="620">
        <v>113</v>
      </c>
      <c r="N247" s="619"/>
      <c r="O247" s="619">
        <v>8</v>
      </c>
      <c r="P247" s="619" t="s">
        <v>1098</v>
      </c>
      <c r="Q247" s="662" t="s">
        <v>1043</v>
      </c>
      <c r="R247" s="618"/>
      <c r="S247" s="621" t="s">
        <v>4</v>
      </c>
      <c r="T247" s="619" t="s">
        <v>39</v>
      </c>
    </row>
    <row r="248" spans="1:20">
      <c r="A248" s="630">
        <v>6421210</v>
      </c>
      <c r="B248" s="628"/>
      <c r="C248" s="623"/>
      <c r="D248" s="623"/>
      <c r="E248" s="669" t="s">
        <v>1142</v>
      </c>
      <c r="F248" s="631" t="s">
        <v>1143</v>
      </c>
      <c r="G248" s="661">
        <v>642</v>
      </c>
      <c r="H248" s="633">
        <v>1210</v>
      </c>
      <c r="I248" s="618"/>
      <c r="J248" s="619" t="s">
        <v>1142</v>
      </c>
      <c r="K248" s="618"/>
      <c r="L248" s="619">
        <v>125</v>
      </c>
      <c r="M248" s="620">
        <v>116</v>
      </c>
      <c r="N248" s="619"/>
      <c r="O248" s="619">
        <v>8</v>
      </c>
      <c r="P248" s="619" t="s">
        <v>1098</v>
      </c>
      <c r="Q248" s="662" t="s">
        <v>1043</v>
      </c>
      <c r="R248" s="618"/>
      <c r="S248" s="621" t="s">
        <v>4</v>
      </c>
      <c r="T248" s="619" t="s">
        <v>1046</v>
      </c>
    </row>
    <row r="249" spans="1:20">
      <c r="A249" s="630">
        <v>6001210</v>
      </c>
      <c r="B249" s="628"/>
      <c r="C249" s="623"/>
      <c r="D249" s="623"/>
      <c r="E249" s="669" t="s">
        <v>1144</v>
      </c>
      <c r="F249" s="631" t="s">
        <v>1145</v>
      </c>
      <c r="G249" s="661">
        <v>600</v>
      </c>
      <c r="H249" s="633">
        <v>1210</v>
      </c>
      <c r="I249" s="618"/>
      <c r="J249" s="619" t="s">
        <v>1144</v>
      </c>
      <c r="K249" s="618"/>
      <c r="L249" s="619">
        <v>126</v>
      </c>
      <c r="M249" s="620">
        <v>117</v>
      </c>
      <c r="N249" s="619"/>
      <c r="O249" s="619">
        <v>8</v>
      </c>
      <c r="P249" s="619" t="s">
        <v>1098</v>
      </c>
      <c r="Q249" s="662"/>
      <c r="R249" s="618"/>
      <c r="S249" s="621" t="s">
        <v>4</v>
      </c>
      <c r="T249" s="619" t="s">
        <v>1048</v>
      </c>
    </row>
    <row r="250" spans="1:20">
      <c r="A250" s="622"/>
      <c r="B250" s="628"/>
      <c r="C250" s="623"/>
      <c r="D250" s="623" t="s">
        <v>851</v>
      </c>
      <c r="E250" s="627" t="s">
        <v>1050</v>
      </c>
      <c r="F250" s="626"/>
      <c r="G250" s="623"/>
      <c r="H250" s="627"/>
      <c r="I250" s="618"/>
      <c r="J250" s="618"/>
      <c r="K250" s="618"/>
      <c r="L250" s="618"/>
      <c r="M250" s="618"/>
      <c r="N250" s="618"/>
      <c r="O250" s="618"/>
      <c r="P250" s="618"/>
      <c r="Q250" s="662"/>
      <c r="R250" s="618"/>
      <c r="S250" s="621"/>
      <c r="T250" s="618"/>
    </row>
    <row r="251" spans="1:20">
      <c r="A251" s="630">
        <v>7341210</v>
      </c>
      <c r="B251" s="628"/>
      <c r="C251" s="623"/>
      <c r="D251" s="623"/>
      <c r="E251" s="627" t="s">
        <v>1146</v>
      </c>
      <c r="F251" s="631" t="s">
        <v>1147</v>
      </c>
      <c r="G251" s="661">
        <v>734</v>
      </c>
      <c r="H251" s="633">
        <v>1210</v>
      </c>
      <c r="I251" s="618"/>
      <c r="J251" s="619" t="s">
        <v>1146</v>
      </c>
      <c r="K251" s="618"/>
      <c r="L251" s="619">
        <v>131</v>
      </c>
      <c r="M251" s="620">
        <v>122</v>
      </c>
      <c r="N251" s="619"/>
      <c r="O251" s="619">
        <v>8</v>
      </c>
      <c r="P251" s="619" t="s">
        <v>760</v>
      </c>
      <c r="Q251" s="662"/>
      <c r="R251" s="618"/>
      <c r="S251" s="621" t="s">
        <v>4</v>
      </c>
      <c r="T251" s="619" t="s">
        <v>1051</v>
      </c>
    </row>
    <row r="252" spans="1:20">
      <c r="A252" s="630">
        <v>7351210</v>
      </c>
      <c r="B252" s="628"/>
      <c r="C252" s="623"/>
      <c r="D252" s="623"/>
      <c r="E252" s="627" t="s">
        <v>1148</v>
      </c>
      <c r="F252" s="631" t="s">
        <v>1149</v>
      </c>
      <c r="G252" s="661">
        <v>735</v>
      </c>
      <c r="H252" s="633">
        <v>1210</v>
      </c>
      <c r="I252" s="618"/>
      <c r="J252" s="619" t="s">
        <v>1148</v>
      </c>
      <c r="K252" s="618"/>
      <c r="L252" s="619">
        <v>131</v>
      </c>
      <c r="M252" s="620">
        <v>122</v>
      </c>
      <c r="N252" s="619"/>
      <c r="O252" s="619">
        <v>8</v>
      </c>
      <c r="P252" s="619" t="s">
        <v>760</v>
      </c>
      <c r="Q252" s="662"/>
      <c r="R252" s="618"/>
      <c r="S252" s="621" t="s">
        <v>4</v>
      </c>
      <c r="T252" s="619" t="s">
        <v>1053</v>
      </c>
    </row>
    <row r="253" spans="1:20">
      <c r="A253" s="630">
        <v>7301210</v>
      </c>
      <c r="B253" s="628"/>
      <c r="C253" s="623"/>
      <c r="D253" s="623"/>
      <c r="E253" s="627" t="s">
        <v>1150</v>
      </c>
      <c r="F253" s="631" t="s">
        <v>1151</v>
      </c>
      <c r="G253" s="661">
        <v>730</v>
      </c>
      <c r="H253" s="633">
        <v>1210</v>
      </c>
      <c r="I253" s="618"/>
      <c r="J253" s="619" t="s">
        <v>1150</v>
      </c>
      <c r="K253" s="618"/>
      <c r="L253" s="619">
        <v>131</v>
      </c>
      <c r="M253" s="620">
        <v>122</v>
      </c>
      <c r="N253" s="619"/>
      <c r="O253" s="619">
        <v>8</v>
      </c>
      <c r="P253" s="619" t="s">
        <v>760</v>
      </c>
      <c r="Q253" s="662"/>
      <c r="R253" s="618"/>
      <c r="S253" s="621" t="s">
        <v>4</v>
      </c>
      <c r="T253" s="619" t="s">
        <v>1055</v>
      </c>
    </row>
    <row r="254" spans="1:20">
      <c r="A254" s="630">
        <v>7001210</v>
      </c>
      <c r="B254" s="628"/>
      <c r="C254" s="623"/>
      <c r="D254" s="623"/>
      <c r="E254" s="627" t="s">
        <v>1152</v>
      </c>
      <c r="F254" s="631" t="s">
        <v>1153</v>
      </c>
      <c r="G254" s="661">
        <v>700</v>
      </c>
      <c r="H254" s="633">
        <v>1210</v>
      </c>
      <c r="I254" s="618"/>
      <c r="J254" s="619" t="s">
        <v>1152</v>
      </c>
      <c r="K254" s="618"/>
      <c r="L254" s="619">
        <v>132</v>
      </c>
      <c r="M254" s="620">
        <v>123</v>
      </c>
      <c r="N254" s="619"/>
      <c r="O254" s="619">
        <v>8</v>
      </c>
      <c r="P254" s="619" t="s">
        <v>760</v>
      </c>
      <c r="Q254" s="662"/>
      <c r="R254" s="618"/>
      <c r="S254" s="621" t="s">
        <v>4</v>
      </c>
      <c r="T254" s="619" t="s">
        <v>1057</v>
      </c>
    </row>
    <row r="255" spans="1:20">
      <c r="A255" s="622"/>
      <c r="B255" s="628"/>
      <c r="C255" s="623"/>
      <c r="D255" s="623" t="s">
        <v>854</v>
      </c>
      <c r="E255" s="627" t="s">
        <v>256</v>
      </c>
      <c r="F255" s="626"/>
      <c r="G255" s="623"/>
      <c r="H255" s="627"/>
      <c r="I255" s="618"/>
      <c r="J255" s="618"/>
      <c r="K255" s="618"/>
      <c r="L255" s="618"/>
      <c r="M255" s="618"/>
      <c r="N255" s="618"/>
      <c r="O255" s="618"/>
      <c r="P255" s="618"/>
      <c r="Q255" s="662"/>
      <c r="R255" s="618"/>
      <c r="S255" s="621"/>
      <c r="T255" s="618"/>
    </row>
    <row r="256" spans="1:20">
      <c r="A256" s="630">
        <v>8951210</v>
      </c>
      <c r="B256" s="628"/>
      <c r="C256" s="623"/>
      <c r="D256" s="623"/>
      <c r="E256" s="668" t="s">
        <v>1154</v>
      </c>
      <c r="F256" s="634" t="s">
        <v>1155</v>
      </c>
      <c r="G256" s="629">
        <v>895</v>
      </c>
      <c r="H256" s="635">
        <v>1210</v>
      </c>
      <c r="I256" s="618"/>
      <c r="J256" s="619" t="s">
        <v>1154</v>
      </c>
      <c r="K256" s="618"/>
      <c r="L256" s="619">
        <v>139</v>
      </c>
      <c r="M256" s="620">
        <v>129</v>
      </c>
      <c r="N256" s="619"/>
      <c r="O256" s="619">
        <v>8</v>
      </c>
      <c r="P256" s="619" t="s">
        <v>1098</v>
      </c>
      <c r="Q256" s="662"/>
      <c r="R256" s="618"/>
      <c r="S256" s="621" t="s">
        <v>4</v>
      </c>
      <c r="T256" s="619" t="s">
        <v>1059</v>
      </c>
    </row>
    <row r="257" spans="1:20">
      <c r="A257" s="630">
        <v>8001210</v>
      </c>
      <c r="B257" s="628"/>
      <c r="C257" s="623"/>
      <c r="D257" s="623"/>
      <c r="E257" s="669" t="s">
        <v>1156</v>
      </c>
      <c r="F257" s="634" t="s">
        <v>1157</v>
      </c>
      <c r="G257" s="629">
        <v>800</v>
      </c>
      <c r="H257" s="635">
        <v>1210</v>
      </c>
      <c r="I257" s="618"/>
      <c r="J257" s="619" t="s">
        <v>1156</v>
      </c>
      <c r="K257" s="618"/>
      <c r="L257" s="619">
        <v>139</v>
      </c>
      <c r="M257" s="620">
        <v>129</v>
      </c>
      <c r="N257" s="619"/>
      <c r="O257" s="619">
        <v>8</v>
      </c>
      <c r="P257" s="619" t="s">
        <v>1098</v>
      </c>
      <c r="Q257" s="662"/>
      <c r="R257" s="618"/>
      <c r="S257" s="621" t="s">
        <v>4</v>
      </c>
      <c r="T257" s="619" t="s">
        <v>1061</v>
      </c>
    </row>
    <row r="258" spans="1:20">
      <c r="A258" s="622"/>
      <c r="B258" s="628"/>
      <c r="C258" s="623"/>
      <c r="D258" s="623" t="s">
        <v>857</v>
      </c>
      <c r="E258" s="627" t="s">
        <v>1063</v>
      </c>
      <c r="F258" s="626"/>
      <c r="G258" s="623"/>
      <c r="H258" s="627"/>
      <c r="I258" s="618"/>
      <c r="J258" s="618"/>
      <c r="K258" s="618"/>
      <c r="L258" s="618"/>
      <c r="M258" s="618"/>
      <c r="N258" s="618"/>
      <c r="O258" s="618"/>
      <c r="P258" s="618"/>
      <c r="Q258" s="662"/>
      <c r="R258" s="618"/>
      <c r="S258" s="621"/>
      <c r="T258" s="618"/>
    </row>
    <row r="259" spans="1:20">
      <c r="A259" s="630">
        <v>2101210</v>
      </c>
      <c r="B259" s="628"/>
      <c r="C259" s="623"/>
      <c r="D259" s="623"/>
      <c r="E259" s="627" t="s">
        <v>1158</v>
      </c>
      <c r="F259" s="634" t="s">
        <v>1159</v>
      </c>
      <c r="G259" s="629">
        <v>210</v>
      </c>
      <c r="H259" s="635">
        <v>1210</v>
      </c>
      <c r="I259" s="618"/>
      <c r="J259" s="619" t="s">
        <v>1158</v>
      </c>
      <c r="K259" s="618"/>
      <c r="L259" s="619">
        <v>89</v>
      </c>
      <c r="M259" s="620">
        <v>84</v>
      </c>
      <c r="N259" s="619"/>
      <c r="O259" s="619">
        <v>8</v>
      </c>
      <c r="P259" s="619" t="s">
        <v>1098</v>
      </c>
      <c r="Q259" s="662" t="s">
        <v>1002</v>
      </c>
      <c r="R259" s="618"/>
      <c r="S259" s="621" t="s">
        <v>4</v>
      </c>
      <c r="T259" s="619" t="s">
        <v>1064</v>
      </c>
    </row>
    <row r="260" spans="1:20">
      <c r="A260" s="630">
        <v>2201210</v>
      </c>
      <c r="B260" s="628"/>
      <c r="C260" s="623"/>
      <c r="D260" s="623"/>
      <c r="E260" s="627" t="s">
        <v>1160</v>
      </c>
      <c r="F260" s="634" t="s">
        <v>1161</v>
      </c>
      <c r="G260" s="629">
        <v>220</v>
      </c>
      <c r="H260" s="635">
        <v>1210</v>
      </c>
      <c r="I260" s="618"/>
      <c r="J260" s="619" t="s">
        <v>1160</v>
      </c>
      <c r="K260" s="618"/>
      <c r="L260" s="619">
        <v>90</v>
      </c>
      <c r="M260" s="620">
        <v>85</v>
      </c>
      <c r="N260" s="619"/>
      <c r="O260" s="619">
        <v>8</v>
      </c>
      <c r="P260" s="619" t="s">
        <v>1098</v>
      </c>
      <c r="Q260" s="662" t="s">
        <v>1002</v>
      </c>
      <c r="R260" s="618"/>
      <c r="S260" s="621" t="s">
        <v>4</v>
      </c>
      <c r="T260" s="619" t="s">
        <v>1066</v>
      </c>
    </row>
    <row r="261" spans="1:20">
      <c r="A261" s="630">
        <v>2251210</v>
      </c>
      <c r="B261" s="628"/>
      <c r="C261" s="623"/>
      <c r="D261" s="623"/>
      <c r="E261" s="627" t="s">
        <v>1162</v>
      </c>
      <c r="F261" s="634" t="s">
        <v>1163</v>
      </c>
      <c r="G261" s="629">
        <v>225</v>
      </c>
      <c r="H261" s="635">
        <v>1210</v>
      </c>
      <c r="I261" s="618"/>
      <c r="J261" s="619" t="s">
        <v>1162</v>
      </c>
      <c r="K261" s="618"/>
      <c r="L261" s="619">
        <v>91</v>
      </c>
      <c r="M261" s="620">
        <v>86</v>
      </c>
      <c r="N261" s="619"/>
      <c r="O261" s="619">
        <v>8</v>
      </c>
      <c r="P261" s="619" t="s">
        <v>1098</v>
      </c>
      <c r="Q261" s="662" t="s">
        <v>1002</v>
      </c>
      <c r="R261" s="618"/>
      <c r="S261" s="621" t="s">
        <v>4</v>
      </c>
      <c r="T261" s="619" t="s">
        <v>23</v>
      </c>
    </row>
    <row r="262" spans="1:20">
      <c r="A262" s="622"/>
      <c r="B262" s="628"/>
      <c r="C262" s="623"/>
      <c r="D262" s="623"/>
      <c r="E262" s="627" t="s">
        <v>1164</v>
      </c>
      <c r="F262" s="626"/>
      <c r="G262" s="623"/>
      <c r="H262" s="627"/>
      <c r="I262" s="618"/>
      <c r="J262" s="618"/>
      <c r="K262" s="618"/>
      <c r="L262" s="618"/>
      <c r="M262" s="618"/>
      <c r="N262" s="618"/>
      <c r="O262" s="618"/>
      <c r="P262" s="618"/>
      <c r="Q262" s="662"/>
      <c r="R262" s="618"/>
      <c r="S262" s="621"/>
      <c r="T262" s="618"/>
    </row>
    <row r="263" spans="1:20">
      <c r="A263" s="630">
        <v>2311210</v>
      </c>
      <c r="B263" s="628"/>
      <c r="C263" s="623"/>
      <c r="D263" s="623"/>
      <c r="E263" s="627" t="s">
        <v>1165</v>
      </c>
      <c r="F263" s="634" t="s">
        <v>1166</v>
      </c>
      <c r="G263" s="629">
        <v>231</v>
      </c>
      <c r="H263" s="635">
        <v>1210</v>
      </c>
      <c r="I263" s="618"/>
      <c r="J263" s="619" t="s">
        <v>1165</v>
      </c>
      <c r="K263" s="618"/>
      <c r="L263" s="619">
        <v>92</v>
      </c>
      <c r="M263" s="620">
        <v>87</v>
      </c>
      <c r="N263" s="619"/>
      <c r="O263" s="619">
        <v>8</v>
      </c>
      <c r="P263" s="619" t="s">
        <v>1098</v>
      </c>
      <c r="Q263" s="662" t="s">
        <v>1002</v>
      </c>
      <c r="R263" s="618"/>
      <c r="S263" s="621" t="s">
        <v>4</v>
      </c>
      <c r="T263" s="619" t="s">
        <v>1072</v>
      </c>
    </row>
    <row r="264" spans="1:20">
      <c r="A264" s="630">
        <v>2331210</v>
      </c>
      <c r="B264" s="628"/>
      <c r="C264" s="623"/>
      <c r="D264" s="623"/>
      <c r="E264" s="627" t="s">
        <v>1167</v>
      </c>
      <c r="F264" s="634" t="s">
        <v>1168</v>
      </c>
      <c r="G264" s="629">
        <v>233</v>
      </c>
      <c r="H264" s="635">
        <v>1210</v>
      </c>
      <c r="I264" s="618"/>
      <c r="J264" s="619" t="s">
        <v>1167</v>
      </c>
      <c r="K264" s="618"/>
      <c r="L264" s="619">
        <v>92</v>
      </c>
      <c r="M264" s="620">
        <v>87</v>
      </c>
      <c r="N264" s="619"/>
      <c r="O264" s="619">
        <v>8</v>
      </c>
      <c r="P264" s="619" t="s">
        <v>1098</v>
      </c>
      <c r="Q264" s="662" t="s">
        <v>1002</v>
      </c>
      <c r="R264" s="618"/>
      <c r="S264" s="621" t="s">
        <v>4</v>
      </c>
      <c r="T264" s="619" t="s">
        <v>1169</v>
      </c>
    </row>
    <row r="265" spans="1:20">
      <c r="A265" s="630">
        <v>2391210</v>
      </c>
      <c r="B265" s="628"/>
      <c r="C265" s="623"/>
      <c r="D265" s="623"/>
      <c r="E265" s="627" t="s">
        <v>1170</v>
      </c>
      <c r="F265" s="634" t="s">
        <v>1171</v>
      </c>
      <c r="G265" s="629">
        <v>239</v>
      </c>
      <c r="H265" s="635">
        <v>1210</v>
      </c>
      <c r="I265" s="618"/>
      <c r="J265" s="619" t="s">
        <v>1170</v>
      </c>
      <c r="K265" s="618"/>
      <c r="L265" s="619">
        <v>92</v>
      </c>
      <c r="M265" s="620">
        <v>87</v>
      </c>
      <c r="N265" s="619"/>
      <c r="O265" s="619">
        <v>8</v>
      </c>
      <c r="P265" s="619" t="s">
        <v>1098</v>
      </c>
      <c r="Q265" s="662" t="s">
        <v>1002</v>
      </c>
      <c r="R265" s="618"/>
      <c r="S265" s="621" t="s">
        <v>4</v>
      </c>
      <c r="T265" s="619" t="s">
        <v>1078</v>
      </c>
    </row>
    <row r="266" spans="1:20">
      <c r="A266" s="630">
        <v>2501210</v>
      </c>
      <c r="B266" s="628"/>
      <c r="C266" s="623"/>
      <c r="D266" s="623"/>
      <c r="E266" s="627" t="s">
        <v>1172</v>
      </c>
      <c r="F266" s="634" t="s">
        <v>1173</v>
      </c>
      <c r="G266" s="629">
        <v>250</v>
      </c>
      <c r="H266" s="635">
        <v>1210</v>
      </c>
      <c r="I266" s="618"/>
      <c r="J266" s="619" t="s">
        <v>1172</v>
      </c>
      <c r="K266" s="618"/>
      <c r="L266" s="619">
        <v>93</v>
      </c>
      <c r="M266" s="620">
        <v>88</v>
      </c>
      <c r="N266" s="619"/>
      <c r="O266" s="619">
        <v>8</v>
      </c>
      <c r="P266" s="619" t="s">
        <v>1098</v>
      </c>
      <c r="Q266" s="662" t="s">
        <v>1002</v>
      </c>
      <c r="R266" s="618"/>
      <c r="S266" s="621" t="s">
        <v>4</v>
      </c>
      <c r="T266" s="619" t="s">
        <v>1079</v>
      </c>
    </row>
    <row r="267" spans="1:20">
      <c r="A267" s="630">
        <v>2601210</v>
      </c>
      <c r="B267" s="628"/>
      <c r="C267" s="623"/>
      <c r="D267" s="623"/>
      <c r="E267" s="627" t="s">
        <v>1174</v>
      </c>
      <c r="F267" s="634" t="s">
        <v>1175</v>
      </c>
      <c r="G267" s="629">
        <v>260</v>
      </c>
      <c r="H267" s="635">
        <v>1210</v>
      </c>
      <c r="I267" s="618"/>
      <c r="J267" s="619" t="s">
        <v>1174</v>
      </c>
      <c r="K267" s="618"/>
      <c r="L267" s="619">
        <v>95</v>
      </c>
      <c r="M267" s="620">
        <v>90</v>
      </c>
      <c r="N267" s="619"/>
      <c r="O267" s="619">
        <v>8</v>
      </c>
      <c r="P267" s="619" t="s">
        <v>1098</v>
      </c>
      <c r="Q267" s="662" t="s">
        <v>1002</v>
      </c>
      <c r="R267" s="618"/>
      <c r="S267" s="621" t="s">
        <v>4</v>
      </c>
      <c r="T267" s="619" t="s">
        <v>1081</v>
      </c>
    </row>
    <row r="268" spans="1:20">
      <c r="A268" s="630">
        <v>2701210</v>
      </c>
      <c r="B268" s="628"/>
      <c r="C268" s="623"/>
      <c r="D268" s="623"/>
      <c r="E268" s="627" t="s">
        <v>1176</v>
      </c>
      <c r="F268" s="634" t="s">
        <v>1177</v>
      </c>
      <c r="G268" s="629">
        <v>270</v>
      </c>
      <c r="H268" s="635">
        <v>1210</v>
      </c>
      <c r="I268" s="618"/>
      <c r="J268" s="619" t="s">
        <v>1176</v>
      </c>
      <c r="K268" s="618"/>
      <c r="L268" s="619">
        <v>94</v>
      </c>
      <c r="M268" s="620">
        <v>89</v>
      </c>
      <c r="N268" s="619"/>
      <c r="O268" s="619">
        <v>8</v>
      </c>
      <c r="P268" s="619" t="s">
        <v>1098</v>
      </c>
      <c r="Q268" s="662" t="s">
        <v>1002</v>
      </c>
      <c r="R268" s="618"/>
      <c r="S268" s="621" t="s">
        <v>4</v>
      </c>
      <c r="T268" s="619" t="s">
        <v>1083</v>
      </c>
    </row>
    <row r="269" spans="1:20">
      <c r="A269" s="630">
        <v>2811210</v>
      </c>
      <c r="B269" s="628"/>
      <c r="C269" s="623"/>
      <c r="D269" s="623"/>
      <c r="E269" s="627" t="s">
        <v>1178</v>
      </c>
      <c r="F269" s="634" t="s">
        <v>1179</v>
      </c>
      <c r="G269" s="629">
        <v>281</v>
      </c>
      <c r="H269" s="635">
        <v>1210</v>
      </c>
      <c r="I269" s="618"/>
      <c r="J269" s="619" t="s">
        <v>1178</v>
      </c>
      <c r="K269" s="618"/>
      <c r="L269" s="619">
        <v>95</v>
      </c>
      <c r="M269" s="620">
        <v>90</v>
      </c>
      <c r="N269" s="619"/>
      <c r="O269" s="619">
        <v>8</v>
      </c>
      <c r="P269" s="619" t="s">
        <v>1098</v>
      </c>
      <c r="Q269" s="662" t="s">
        <v>1002</v>
      </c>
      <c r="R269" s="618"/>
      <c r="S269" s="621" t="s">
        <v>4</v>
      </c>
      <c r="T269" s="619" t="s">
        <v>1085</v>
      </c>
    </row>
    <row r="270" spans="1:20">
      <c r="A270" s="630">
        <v>2821210</v>
      </c>
      <c r="B270" s="628"/>
      <c r="C270" s="623"/>
      <c r="D270" s="623"/>
      <c r="E270" s="627" t="s">
        <v>1180</v>
      </c>
      <c r="F270" s="634" t="s">
        <v>1181</v>
      </c>
      <c r="G270" s="629">
        <v>282</v>
      </c>
      <c r="H270" s="635">
        <v>1210</v>
      </c>
      <c r="I270" s="618"/>
      <c r="J270" s="619" t="s">
        <v>1180</v>
      </c>
      <c r="K270" s="618"/>
      <c r="L270" s="619">
        <v>95</v>
      </c>
      <c r="M270" s="620">
        <v>90</v>
      </c>
      <c r="N270" s="619"/>
      <c r="O270" s="619">
        <v>8</v>
      </c>
      <c r="P270" s="619" t="s">
        <v>1098</v>
      </c>
      <c r="Q270" s="662" t="s">
        <v>1002</v>
      </c>
      <c r="R270" s="618"/>
      <c r="S270" s="621" t="s">
        <v>4</v>
      </c>
      <c r="T270" s="619" t="s">
        <v>1087</v>
      </c>
    </row>
    <row r="271" spans="1:20">
      <c r="A271" s="630">
        <v>2901210</v>
      </c>
      <c r="B271" s="670"/>
      <c r="C271" s="632"/>
      <c r="D271" s="632"/>
      <c r="E271" s="637" t="s">
        <v>1182</v>
      </c>
      <c r="F271" s="631" t="s">
        <v>1183</v>
      </c>
      <c r="G271" s="661">
        <v>290</v>
      </c>
      <c r="H271" s="633">
        <v>1210</v>
      </c>
      <c r="I271" s="618"/>
      <c r="J271" s="619" t="s">
        <v>1182</v>
      </c>
      <c r="K271" s="618"/>
      <c r="L271" s="619">
        <v>95</v>
      </c>
      <c r="M271" s="620">
        <v>90</v>
      </c>
      <c r="N271" s="619"/>
      <c r="O271" s="619">
        <v>8</v>
      </c>
      <c r="P271" s="619" t="s">
        <v>1098</v>
      </c>
      <c r="Q271" s="662" t="s">
        <v>1002</v>
      </c>
      <c r="R271" s="618"/>
      <c r="S271" s="621" t="s">
        <v>4</v>
      </c>
      <c r="T271" s="619" t="s">
        <v>1090</v>
      </c>
    </row>
    <row r="272" spans="1:20">
      <c r="A272" s="622"/>
      <c r="B272" s="628"/>
      <c r="C272" s="629">
        <v>10</v>
      </c>
      <c r="D272" s="784" t="s">
        <v>1184</v>
      </c>
      <c r="E272" s="775"/>
      <c r="F272" s="626"/>
      <c r="G272" s="623"/>
      <c r="H272" s="627"/>
      <c r="I272" s="618"/>
      <c r="J272" s="618"/>
      <c r="K272" s="618"/>
      <c r="L272" s="618"/>
      <c r="M272" s="618"/>
      <c r="N272" s="618"/>
      <c r="O272" s="618"/>
      <c r="P272" s="618"/>
      <c r="Q272" s="662"/>
      <c r="R272" s="618"/>
      <c r="S272" s="621"/>
      <c r="T272" s="618"/>
    </row>
    <row r="273" spans="1:20">
      <c r="A273" s="622"/>
      <c r="B273" s="628"/>
      <c r="C273" s="623"/>
      <c r="D273" s="623" t="s">
        <v>756</v>
      </c>
      <c r="E273" s="627" t="s">
        <v>244</v>
      </c>
      <c r="F273" s="626"/>
      <c r="G273" s="623"/>
      <c r="H273" s="627"/>
      <c r="I273" s="618"/>
      <c r="J273" s="618"/>
      <c r="K273" s="618"/>
      <c r="L273" s="618"/>
      <c r="M273" s="618"/>
      <c r="N273" s="618"/>
      <c r="O273" s="618"/>
      <c r="P273" s="618"/>
      <c r="Q273" s="662"/>
      <c r="R273" s="618"/>
      <c r="S273" s="621"/>
      <c r="T273" s="618"/>
    </row>
    <row r="274" spans="1:20">
      <c r="A274" s="630">
        <v>1121220</v>
      </c>
      <c r="B274" s="628"/>
      <c r="C274" s="623"/>
      <c r="D274" s="623"/>
      <c r="E274" s="627" t="s">
        <v>1096</v>
      </c>
      <c r="F274" s="631" t="s">
        <v>1185</v>
      </c>
      <c r="G274" s="661">
        <v>112</v>
      </c>
      <c r="H274" s="633">
        <v>1220</v>
      </c>
      <c r="I274" s="618"/>
      <c r="J274" s="619" t="s">
        <v>1096</v>
      </c>
      <c r="K274" s="618"/>
      <c r="L274" s="619">
        <v>82</v>
      </c>
      <c r="M274" s="620">
        <v>77</v>
      </c>
      <c r="N274" s="619"/>
      <c r="O274" s="619">
        <v>8</v>
      </c>
      <c r="P274" s="619" t="s">
        <v>760</v>
      </c>
      <c r="Q274" s="662" t="s">
        <v>1002</v>
      </c>
      <c r="R274" s="618"/>
      <c r="S274" s="621" t="s">
        <v>1184</v>
      </c>
      <c r="T274" s="619" t="s">
        <v>5</v>
      </c>
    </row>
    <row r="275" spans="1:20">
      <c r="A275" s="630">
        <v>1151220</v>
      </c>
      <c r="B275" s="628"/>
      <c r="C275" s="623"/>
      <c r="D275" s="623"/>
      <c r="E275" s="627" t="s">
        <v>1099</v>
      </c>
      <c r="F275" s="631" t="s">
        <v>1186</v>
      </c>
      <c r="G275" s="661">
        <v>115</v>
      </c>
      <c r="H275" s="633">
        <v>1220</v>
      </c>
      <c r="I275" s="618"/>
      <c r="J275" s="619" t="s">
        <v>1099</v>
      </c>
      <c r="K275" s="618"/>
      <c r="L275" s="619">
        <v>86</v>
      </c>
      <c r="M275" s="620">
        <v>81</v>
      </c>
      <c r="N275" s="619"/>
      <c r="O275" s="619">
        <v>8</v>
      </c>
      <c r="P275" s="619" t="s">
        <v>760</v>
      </c>
      <c r="Q275" s="662" t="s">
        <v>1002</v>
      </c>
      <c r="R275" s="618"/>
      <c r="S275" s="621" t="s">
        <v>1184</v>
      </c>
      <c r="T275" s="619" t="s">
        <v>1101</v>
      </c>
    </row>
    <row r="276" spans="1:20">
      <c r="A276" s="630">
        <v>1231220</v>
      </c>
      <c r="B276" s="628"/>
      <c r="C276" s="623"/>
      <c r="D276" s="623"/>
      <c r="E276" s="627" t="s">
        <v>1102</v>
      </c>
      <c r="F276" s="631" t="s">
        <v>1187</v>
      </c>
      <c r="G276" s="661">
        <v>123</v>
      </c>
      <c r="H276" s="633">
        <v>1220</v>
      </c>
      <c r="I276" s="618"/>
      <c r="J276" s="619" t="s">
        <v>1102</v>
      </c>
      <c r="K276" s="618"/>
      <c r="L276" s="619">
        <v>86</v>
      </c>
      <c r="M276" s="620">
        <v>81</v>
      </c>
      <c r="N276" s="619"/>
      <c r="O276" s="619">
        <v>8</v>
      </c>
      <c r="P276" s="619" t="s">
        <v>760</v>
      </c>
      <c r="Q276" s="662" t="s">
        <v>1002</v>
      </c>
      <c r="R276" s="618"/>
      <c r="S276" s="621" t="s">
        <v>1184</v>
      </c>
      <c r="T276" s="619" t="s">
        <v>1104</v>
      </c>
    </row>
    <row r="277" spans="1:20">
      <c r="A277" s="630">
        <v>1201220</v>
      </c>
      <c r="B277" s="628"/>
      <c r="C277" s="623"/>
      <c r="D277" s="623"/>
      <c r="E277" s="627" t="s">
        <v>1105</v>
      </c>
      <c r="F277" s="631" t="s">
        <v>1188</v>
      </c>
      <c r="G277" s="661">
        <v>120</v>
      </c>
      <c r="H277" s="633">
        <v>1220</v>
      </c>
      <c r="I277" s="618"/>
      <c r="J277" s="619" t="s">
        <v>1105</v>
      </c>
      <c r="K277" s="618"/>
      <c r="L277" s="619">
        <v>86</v>
      </c>
      <c r="M277" s="620">
        <v>81</v>
      </c>
      <c r="N277" s="619"/>
      <c r="O277" s="619">
        <v>8</v>
      </c>
      <c r="P277" s="619" t="s">
        <v>760</v>
      </c>
      <c r="Q277" s="662" t="s">
        <v>1002</v>
      </c>
      <c r="R277" s="618"/>
      <c r="S277" s="621" t="s">
        <v>1184</v>
      </c>
      <c r="T277" s="619" t="s">
        <v>1107</v>
      </c>
    </row>
    <row r="278" spans="1:20">
      <c r="A278" s="630">
        <v>1001220</v>
      </c>
      <c r="B278" s="628"/>
      <c r="C278" s="623"/>
      <c r="D278" s="623"/>
      <c r="E278" s="627" t="s">
        <v>1108</v>
      </c>
      <c r="F278" s="631" t="s">
        <v>1189</v>
      </c>
      <c r="G278" s="661">
        <v>100</v>
      </c>
      <c r="H278" s="633">
        <v>1220</v>
      </c>
      <c r="I278" s="618"/>
      <c r="J278" s="619" t="s">
        <v>1108</v>
      </c>
      <c r="K278" s="618"/>
      <c r="L278" s="619">
        <v>86</v>
      </c>
      <c r="M278" s="620">
        <v>81</v>
      </c>
      <c r="N278" s="619"/>
      <c r="O278" s="619">
        <v>8</v>
      </c>
      <c r="P278" s="619" t="s">
        <v>760</v>
      </c>
      <c r="Q278" s="662" t="s">
        <v>1002</v>
      </c>
      <c r="R278" s="618"/>
      <c r="S278" s="621" t="s">
        <v>1184</v>
      </c>
      <c r="T278" s="619" t="s">
        <v>1015</v>
      </c>
    </row>
    <row r="279" spans="1:20">
      <c r="A279" s="630">
        <v>1401220</v>
      </c>
      <c r="B279" s="628"/>
      <c r="C279" s="623"/>
      <c r="D279" s="623"/>
      <c r="E279" s="627" t="s">
        <v>1110</v>
      </c>
      <c r="F279" s="631" t="s">
        <v>1190</v>
      </c>
      <c r="G279" s="661">
        <v>140</v>
      </c>
      <c r="H279" s="633">
        <v>1220</v>
      </c>
      <c r="I279" s="618"/>
      <c r="J279" s="619" t="s">
        <v>1110</v>
      </c>
      <c r="K279" s="618"/>
      <c r="L279" s="619">
        <v>86</v>
      </c>
      <c r="M279" s="620">
        <v>81</v>
      </c>
      <c r="N279" s="619"/>
      <c r="O279" s="619">
        <v>8</v>
      </c>
      <c r="P279" s="619" t="s">
        <v>760</v>
      </c>
      <c r="Q279" s="662" t="s">
        <v>1002</v>
      </c>
      <c r="R279" s="618"/>
      <c r="S279" s="621" t="s">
        <v>1184</v>
      </c>
      <c r="T279" s="619" t="s">
        <v>1017</v>
      </c>
    </row>
    <row r="280" spans="1:20">
      <c r="A280" s="630">
        <v>3001220</v>
      </c>
      <c r="B280" s="628"/>
      <c r="C280" s="623"/>
      <c r="D280" s="623" t="s">
        <v>775</v>
      </c>
      <c r="E280" s="627" t="s">
        <v>1112</v>
      </c>
      <c r="F280" s="631" t="s">
        <v>1191</v>
      </c>
      <c r="G280" s="661">
        <v>300</v>
      </c>
      <c r="H280" s="633">
        <v>1220</v>
      </c>
      <c r="I280" s="618"/>
      <c r="J280" s="619" t="s">
        <v>1112</v>
      </c>
      <c r="K280" s="618"/>
      <c r="L280" s="619">
        <v>101</v>
      </c>
      <c r="M280" s="620">
        <v>96</v>
      </c>
      <c r="N280" s="619"/>
      <c r="O280" s="619">
        <v>8</v>
      </c>
      <c r="P280" s="619" t="s">
        <v>760</v>
      </c>
      <c r="Q280" s="662"/>
      <c r="R280" s="618"/>
      <c r="S280" s="621" t="s">
        <v>1184</v>
      </c>
      <c r="T280" s="619" t="s">
        <v>1112</v>
      </c>
    </row>
    <row r="281" spans="1:20">
      <c r="A281" s="622"/>
      <c r="B281" s="628"/>
      <c r="C281" s="623"/>
      <c r="D281" s="623" t="s">
        <v>799</v>
      </c>
      <c r="E281" s="627" t="s">
        <v>250</v>
      </c>
      <c r="F281" s="626"/>
      <c r="G281" s="623"/>
      <c r="H281" s="627"/>
      <c r="I281" s="618"/>
      <c r="J281" s="618"/>
      <c r="K281" s="618"/>
      <c r="L281" s="618"/>
      <c r="M281" s="618"/>
      <c r="N281" s="618"/>
      <c r="O281" s="618"/>
      <c r="P281" s="618"/>
      <c r="Q281" s="662"/>
      <c r="R281" s="618"/>
      <c r="S281" s="621"/>
      <c r="T281" s="618"/>
    </row>
    <row r="282" spans="1:20">
      <c r="A282" s="630">
        <v>4301220</v>
      </c>
      <c r="B282" s="628"/>
      <c r="C282" s="623"/>
      <c r="D282" s="623"/>
      <c r="E282" s="627" t="s">
        <v>1114</v>
      </c>
      <c r="F282" s="631" t="s">
        <v>1192</v>
      </c>
      <c r="G282" s="661">
        <v>430</v>
      </c>
      <c r="H282" s="633">
        <v>1220</v>
      </c>
      <c r="I282" s="618"/>
      <c r="J282" s="619" t="s">
        <v>1114</v>
      </c>
      <c r="K282" s="618"/>
      <c r="L282" s="619">
        <v>107</v>
      </c>
      <c r="M282" s="620">
        <v>102</v>
      </c>
      <c r="N282" s="619"/>
      <c r="O282" s="619">
        <v>8</v>
      </c>
      <c r="P282" s="619" t="s">
        <v>760</v>
      </c>
      <c r="Q282" s="662"/>
      <c r="R282" s="618"/>
      <c r="S282" s="621" t="s">
        <v>1184</v>
      </c>
      <c r="T282" s="619" t="s">
        <v>1021</v>
      </c>
    </row>
    <row r="283" spans="1:20">
      <c r="A283" s="630">
        <v>4421220</v>
      </c>
      <c r="B283" s="628"/>
      <c r="C283" s="623"/>
      <c r="D283" s="623"/>
      <c r="E283" s="627" t="s">
        <v>1116</v>
      </c>
      <c r="F283" s="631" t="s">
        <v>1193</v>
      </c>
      <c r="G283" s="661">
        <v>442</v>
      </c>
      <c r="H283" s="633">
        <v>1220</v>
      </c>
      <c r="I283" s="618"/>
      <c r="J283" s="619" t="s">
        <v>1116</v>
      </c>
      <c r="K283" s="618"/>
      <c r="L283" s="619">
        <v>106</v>
      </c>
      <c r="M283" s="620">
        <v>101</v>
      </c>
      <c r="N283" s="619"/>
      <c r="O283" s="619">
        <v>8</v>
      </c>
      <c r="P283" s="619" t="s">
        <v>760</v>
      </c>
      <c r="Q283" s="662"/>
      <c r="R283" s="618"/>
      <c r="S283" s="621" t="s">
        <v>1184</v>
      </c>
      <c r="T283" s="619" t="s">
        <v>1023</v>
      </c>
    </row>
    <row r="284" spans="1:20">
      <c r="A284" s="630">
        <v>4001220</v>
      </c>
      <c r="B284" s="628"/>
      <c r="C284" s="623"/>
      <c r="D284" s="623"/>
      <c r="E284" s="627" t="s">
        <v>1118</v>
      </c>
      <c r="F284" s="631" t="s">
        <v>1194</v>
      </c>
      <c r="G284" s="661">
        <v>400</v>
      </c>
      <c r="H284" s="633">
        <v>1220</v>
      </c>
      <c r="I284" s="618"/>
      <c r="J284" s="619" t="s">
        <v>1118</v>
      </c>
      <c r="K284" s="618"/>
      <c r="L284" s="619">
        <v>108</v>
      </c>
      <c r="M284" s="620">
        <v>103</v>
      </c>
      <c r="N284" s="619"/>
      <c r="O284" s="619">
        <v>8</v>
      </c>
      <c r="P284" s="619" t="s">
        <v>760</v>
      </c>
      <c r="Q284" s="662"/>
      <c r="R284" s="618"/>
      <c r="S284" s="621" t="s">
        <v>1184</v>
      </c>
      <c r="T284" s="619" t="s">
        <v>1025</v>
      </c>
    </row>
    <row r="285" spans="1:20">
      <c r="A285" s="622"/>
      <c r="B285" s="628"/>
      <c r="C285" s="623"/>
      <c r="D285" s="623" t="s">
        <v>803</v>
      </c>
      <c r="E285" s="627" t="s">
        <v>252</v>
      </c>
      <c r="F285" s="626"/>
      <c r="G285" s="623"/>
      <c r="H285" s="627"/>
      <c r="I285" s="618"/>
      <c r="J285" s="618"/>
      <c r="K285" s="618"/>
      <c r="L285" s="618"/>
      <c r="M285" s="618"/>
      <c r="N285" s="618"/>
      <c r="O285" s="618"/>
      <c r="P285" s="618"/>
      <c r="Q285" s="662"/>
      <c r="R285" s="618"/>
      <c r="S285" s="621"/>
      <c r="T285" s="618"/>
    </row>
    <row r="286" spans="1:20">
      <c r="A286" s="622"/>
      <c r="B286" s="628"/>
      <c r="C286" s="623"/>
      <c r="D286" s="623"/>
      <c r="E286" s="627" t="s">
        <v>1120</v>
      </c>
      <c r="F286" s="626"/>
      <c r="G286" s="623"/>
      <c r="H286" s="627"/>
      <c r="I286" s="618"/>
      <c r="J286" s="618"/>
      <c r="K286" s="618"/>
      <c r="L286" s="618"/>
      <c r="M286" s="618"/>
      <c r="N286" s="618"/>
      <c r="O286" s="618"/>
      <c r="P286" s="618"/>
      <c r="Q286" s="662"/>
      <c r="R286" s="618"/>
      <c r="S286" s="621"/>
      <c r="T286" s="618"/>
    </row>
    <row r="287" spans="1:20">
      <c r="A287" s="630">
        <v>5611220</v>
      </c>
      <c r="B287" s="628"/>
      <c r="C287" s="623"/>
      <c r="D287" s="623"/>
      <c r="E287" s="627" t="s">
        <v>1195</v>
      </c>
      <c r="F287" s="631" t="s">
        <v>1196</v>
      </c>
      <c r="G287" s="661">
        <v>561</v>
      </c>
      <c r="H287" s="633">
        <v>1220</v>
      </c>
      <c r="I287" s="618"/>
      <c r="J287" s="619" t="s">
        <v>1195</v>
      </c>
      <c r="K287" s="618"/>
      <c r="L287" s="619">
        <v>119</v>
      </c>
      <c r="M287" s="620">
        <v>110</v>
      </c>
      <c r="N287" s="619"/>
      <c r="O287" s="619">
        <v>8</v>
      </c>
      <c r="P287" s="619" t="s">
        <v>760</v>
      </c>
      <c r="Q287" s="662"/>
      <c r="R287" s="618"/>
      <c r="S287" s="621" t="s">
        <v>1184</v>
      </c>
      <c r="T287" s="619" t="s">
        <v>1197</v>
      </c>
    </row>
    <row r="288" spans="1:20">
      <c r="A288" s="630">
        <v>5621220</v>
      </c>
      <c r="B288" s="628"/>
      <c r="C288" s="623"/>
      <c r="D288" s="623"/>
      <c r="E288" s="627" t="s">
        <v>1123</v>
      </c>
      <c r="F288" s="631" t="s">
        <v>1198</v>
      </c>
      <c r="G288" s="661">
        <v>562</v>
      </c>
      <c r="H288" s="633">
        <v>1220</v>
      </c>
      <c r="I288" s="618"/>
      <c r="J288" s="619" t="s">
        <v>1123</v>
      </c>
      <c r="K288" s="618"/>
      <c r="L288" s="619">
        <v>119</v>
      </c>
      <c r="M288" s="620">
        <v>110</v>
      </c>
      <c r="N288" s="619"/>
      <c r="O288" s="619">
        <v>8</v>
      </c>
      <c r="P288" s="619" t="s">
        <v>760</v>
      </c>
      <c r="Q288" s="662"/>
      <c r="R288" s="618"/>
      <c r="S288" s="621" t="s">
        <v>1184</v>
      </c>
      <c r="T288" s="619" t="s">
        <v>1033</v>
      </c>
    </row>
    <row r="289" spans="1:20">
      <c r="A289" s="630">
        <v>5631220</v>
      </c>
      <c r="B289" s="628"/>
      <c r="C289" s="623"/>
      <c r="D289" s="623"/>
      <c r="E289" s="627" t="s">
        <v>1125</v>
      </c>
      <c r="F289" s="631" t="s">
        <v>1199</v>
      </c>
      <c r="G289" s="661">
        <v>563</v>
      </c>
      <c r="H289" s="633">
        <v>1220</v>
      </c>
      <c r="I289" s="618"/>
      <c r="J289" s="619" t="s">
        <v>1125</v>
      </c>
      <c r="K289" s="618"/>
      <c r="L289" s="619">
        <v>119</v>
      </c>
      <c r="M289" s="620">
        <v>110</v>
      </c>
      <c r="N289" s="619"/>
      <c r="O289" s="619">
        <v>8</v>
      </c>
      <c r="P289" s="619" t="s">
        <v>760</v>
      </c>
      <c r="Q289" s="662"/>
      <c r="R289" s="618"/>
      <c r="S289" s="621" t="s">
        <v>1184</v>
      </c>
      <c r="T289" s="619" t="s">
        <v>1127</v>
      </c>
    </row>
    <row r="290" spans="1:20">
      <c r="A290" s="630">
        <v>5661220</v>
      </c>
      <c r="B290" s="628"/>
      <c r="C290" s="623"/>
      <c r="D290" s="623"/>
      <c r="E290" s="627" t="s">
        <v>1128</v>
      </c>
      <c r="F290" s="631" t="s">
        <v>1200</v>
      </c>
      <c r="G290" s="661">
        <v>566</v>
      </c>
      <c r="H290" s="633">
        <v>1220</v>
      </c>
      <c r="I290" s="618"/>
      <c r="J290" s="619" t="s">
        <v>1128</v>
      </c>
      <c r="K290" s="618"/>
      <c r="L290" s="619">
        <v>119</v>
      </c>
      <c r="M290" s="620">
        <v>110</v>
      </c>
      <c r="N290" s="619"/>
      <c r="O290" s="619">
        <v>8</v>
      </c>
      <c r="P290" s="619" t="s">
        <v>760</v>
      </c>
      <c r="Q290" s="662"/>
      <c r="R290" s="618"/>
      <c r="S290" s="621" t="s">
        <v>1184</v>
      </c>
      <c r="T290" s="619" t="s">
        <v>1130</v>
      </c>
    </row>
    <row r="291" spans="1:20">
      <c r="A291" s="630">
        <v>5671220</v>
      </c>
      <c r="B291" s="628"/>
      <c r="C291" s="623"/>
      <c r="D291" s="623"/>
      <c r="E291" s="627" t="s">
        <v>1131</v>
      </c>
      <c r="F291" s="631" t="s">
        <v>1201</v>
      </c>
      <c r="G291" s="661">
        <v>567</v>
      </c>
      <c r="H291" s="633">
        <v>1220</v>
      </c>
      <c r="I291" s="618"/>
      <c r="J291" s="619" t="s">
        <v>1131</v>
      </c>
      <c r="K291" s="618"/>
      <c r="L291" s="619">
        <v>119</v>
      </c>
      <c r="M291" s="620">
        <v>110</v>
      </c>
      <c r="N291" s="619"/>
      <c r="O291" s="619">
        <v>8</v>
      </c>
      <c r="P291" s="619" t="s">
        <v>760</v>
      </c>
      <c r="Q291" s="662"/>
      <c r="R291" s="618"/>
      <c r="S291" s="621" t="s">
        <v>1184</v>
      </c>
      <c r="T291" s="619" t="s">
        <v>1133</v>
      </c>
    </row>
    <row r="292" spans="1:20">
      <c r="A292" s="630">
        <v>5821220</v>
      </c>
      <c r="B292" s="628"/>
      <c r="C292" s="623"/>
      <c r="D292" s="623"/>
      <c r="E292" s="627" t="s">
        <v>1134</v>
      </c>
      <c r="F292" s="631" t="s">
        <v>1202</v>
      </c>
      <c r="G292" s="661">
        <v>582</v>
      </c>
      <c r="H292" s="633">
        <v>1220</v>
      </c>
      <c r="I292" s="618"/>
      <c r="J292" s="619" t="s">
        <v>1134</v>
      </c>
      <c r="K292" s="618"/>
      <c r="L292" s="619">
        <v>118</v>
      </c>
      <c r="M292" s="620">
        <v>109</v>
      </c>
      <c r="N292" s="619"/>
      <c r="O292" s="619">
        <v>8</v>
      </c>
      <c r="P292" s="619" t="s">
        <v>760</v>
      </c>
      <c r="Q292" s="662"/>
      <c r="R292" s="618"/>
      <c r="S292" s="621" t="s">
        <v>1184</v>
      </c>
      <c r="T292" s="619" t="s">
        <v>1037</v>
      </c>
    </row>
    <row r="293" spans="1:20">
      <c r="A293" s="630">
        <v>5001220</v>
      </c>
      <c r="B293" s="628"/>
      <c r="C293" s="623"/>
      <c r="D293" s="623"/>
      <c r="E293" s="627" t="s">
        <v>1136</v>
      </c>
      <c r="F293" s="631" t="s">
        <v>1203</v>
      </c>
      <c r="G293" s="661">
        <v>500</v>
      </c>
      <c r="H293" s="633">
        <v>1220</v>
      </c>
      <c r="I293" s="618"/>
      <c r="J293" s="619" t="s">
        <v>1136</v>
      </c>
      <c r="K293" s="618"/>
      <c r="L293" s="619">
        <v>119</v>
      </c>
      <c r="M293" s="620">
        <v>110</v>
      </c>
      <c r="N293" s="619"/>
      <c r="O293" s="619">
        <v>8</v>
      </c>
      <c r="P293" s="619" t="s">
        <v>760</v>
      </c>
      <c r="Q293" s="662"/>
      <c r="R293" s="618"/>
      <c r="S293" s="621" t="s">
        <v>1184</v>
      </c>
      <c r="T293" s="619" t="s">
        <v>252</v>
      </c>
    </row>
    <row r="294" spans="1:20">
      <c r="A294" s="622"/>
      <c r="B294" s="628"/>
      <c r="C294" s="623"/>
      <c r="D294" s="623" t="s">
        <v>848</v>
      </c>
      <c r="E294" s="627" t="s">
        <v>1040</v>
      </c>
      <c r="F294" s="626"/>
      <c r="G294" s="623"/>
      <c r="H294" s="627"/>
      <c r="I294" s="618"/>
      <c r="J294" s="618"/>
      <c r="K294" s="618"/>
      <c r="L294" s="618"/>
      <c r="M294" s="618"/>
      <c r="N294" s="618"/>
      <c r="O294" s="618"/>
      <c r="P294" s="618"/>
      <c r="Q294" s="662"/>
      <c r="R294" s="618"/>
      <c r="S294" s="621"/>
      <c r="T294" s="618"/>
    </row>
    <row r="295" spans="1:20">
      <c r="A295" s="630">
        <v>6151220</v>
      </c>
      <c r="B295" s="628"/>
      <c r="C295" s="623"/>
      <c r="D295" s="623"/>
      <c r="E295" s="627" t="s">
        <v>1138</v>
      </c>
      <c r="F295" s="631" t="s">
        <v>1204</v>
      </c>
      <c r="G295" s="661">
        <v>615</v>
      </c>
      <c r="H295" s="633">
        <v>1220</v>
      </c>
      <c r="I295" s="618"/>
      <c r="J295" s="619" t="s">
        <v>1138</v>
      </c>
      <c r="K295" s="618"/>
      <c r="L295" s="619">
        <v>126</v>
      </c>
      <c r="M295" s="620">
        <v>117</v>
      </c>
      <c r="N295" s="619"/>
      <c r="O295" s="619">
        <v>8</v>
      </c>
      <c r="P295" s="619" t="s">
        <v>760</v>
      </c>
      <c r="Q295" s="662" t="s">
        <v>1043</v>
      </c>
      <c r="R295" s="618"/>
      <c r="S295" s="621" t="s">
        <v>1184</v>
      </c>
      <c r="T295" s="619" t="s">
        <v>1041</v>
      </c>
    </row>
    <row r="296" spans="1:20">
      <c r="A296" s="630">
        <v>6101220</v>
      </c>
      <c r="B296" s="628"/>
      <c r="C296" s="623"/>
      <c r="D296" s="623"/>
      <c r="E296" s="627" t="s">
        <v>1140</v>
      </c>
      <c r="F296" s="631" t="s">
        <v>1205</v>
      </c>
      <c r="G296" s="661">
        <v>610</v>
      </c>
      <c r="H296" s="633">
        <v>1220</v>
      </c>
      <c r="I296" s="618"/>
      <c r="J296" s="619" t="s">
        <v>1140</v>
      </c>
      <c r="K296" s="618"/>
      <c r="L296" s="619">
        <v>122</v>
      </c>
      <c r="M296" s="620">
        <v>113</v>
      </c>
      <c r="N296" s="619"/>
      <c r="O296" s="619">
        <v>8</v>
      </c>
      <c r="P296" s="619" t="s">
        <v>760</v>
      </c>
      <c r="Q296" s="662" t="s">
        <v>1043</v>
      </c>
      <c r="R296" s="618"/>
      <c r="S296" s="621" t="s">
        <v>1184</v>
      </c>
      <c r="T296" s="619" t="s">
        <v>39</v>
      </c>
    </row>
    <row r="297" spans="1:20">
      <c r="A297" s="630">
        <v>6421220</v>
      </c>
      <c r="B297" s="628"/>
      <c r="C297" s="623"/>
      <c r="D297" s="623"/>
      <c r="E297" s="627" t="s">
        <v>1142</v>
      </c>
      <c r="F297" s="631" t="s">
        <v>1206</v>
      </c>
      <c r="G297" s="661">
        <v>642</v>
      </c>
      <c r="H297" s="633">
        <v>1220</v>
      </c>
      <c r="I297" s="618"/>
      <c r="J297" s="619" t="s">
        <v>1142</v>
      </c>
      <c r="K297" s="618"/>
      <c r="L297" s="619">
        <v>125</v>
      </c>
      <c r="M297" s="620">
        <v>116</v>
      </c>
      <c r="N297" s="619"/>
      <c r="O297" s="619">
        <v>8</v>
      </c>
      <c r="P297" s="619" t="s">
        <v>760</v>
      </c>
      <c r="Q297" s="662" t="s">
        <v>1043</v>
      </c>
      <c r="R297" s="618"/>
      <c r="S297" s="621" t="s">
        <v>1184</v>
      </c>
      <c r="T297" s="619" t="s">
        <v>1046</v>
      </c>
    </row>
    <row r="298" spans="1:20">
      <c r="A298" s="630">
        <v>6001220</v>
      </c>
      <c r="B298" s="628"/>
      <c r="C298" s="623"/>
      <c r="D298" s="623"/>
      <c r="E298" s="627" t="s">
        <v>1144</v>
      </c>
      <c r="F298" s="631" t="s">
        <v>1207</v>
      </c>
      <c r="G298" s="661">
        <v>600</v>
      </c>
      <c r="H298" s="633">
        <v>1220</v>
      </c>
      <c r="I298" s="618"/>
      <c r="J298" s="619" t="s">
        <v>1144</v>
      </c>
      <c r="K298" s="618"/>
      <c r="L298" s="619">
        <v>126</v>
      </c>
      <c r="M298" s="620">
        <v>117</v>
      </c>
      <c r="N298" s="619"/>
      <c r="O298" s="619">
        <v>8</v>
      </c>
      <c r="P298" s="619" t="s">
        <v>760</v>
      </c>
      <c r="Q298" s="662"/>
      <c r="R298" s="618"/>
      <c r="S298" s="621" t="s">
        <v>1184</v>
      </c>
      <c r="T298" s="619" t="s">
        <v>1048</v>
      </c>
    </row>
    <row r="299" spans="1:20">
      <c r="A299" s="622"/>
      <c r="B299" s="628"/>
      <c r="C299" s="623"/>
      <c r="D299" s="623" t="s">
        <v>851</v>
      </c>
      <c r="E299" s="627" t="s">
        <v>1050</v>
      </c>
      <c r="F299" s="626"/>
      <c r="G299" s="623"/>
      <c r="H299" s="627"/>
      <c r="I299" s="618"/>
      <c r="J299" s="618"/>
      <c r="K299" s="618"/>
      <c r="L299" s="618"/>
      <c r="M299" s="618"/>
      <c r="N299" s="618"/>
      <c r="O299" s="618"/>
      <c r="P299" s="618"/>
      <c r="Q299" s="662"/>
      <c r="R299" s="618"/>
      <c r="S299" s="621"/>
      <c r="T299" s="618"/>
    </row>
    <row r="300" spans="1:20">
      <c r="A300" s="630">
        <v>7341220</v>
      </c>
      <c r="B300" s="628"/>
      <c r="C300" s="623"/>
      <c r="D300" s="623"/>
      <c r="E300" s="627" t="s">
        <v>1146</v>
      </c>
      <c r="F300" s="631" t="s">
        <v>1208</v>
      </c>
      <c r="G300" s="661">
        <v>734</v>
      </c>
      <c r="H300" s="633">
        <v>1220</v>
      </c>
      <c r="I300" s="618"/>
      <c r="J300" s="619" t="s">
        <v>1146</v>
      </c>
      <c r="K300" s="618"/>
      <c r="L300" s="619">
        <v>131</v>
      </c>
      <c r="M300" s="620">
        <v>122</v>
      </c>
      <c r="N300" s="619"/>
      <c r="O300" s="619">
        <v>8</v>
      </c>
      <c r="P300" s="619" t="s">
        <v>760</v>
      </c>
      <c r="Q300" s="662"/>
      <c r="R300" s="618"/>
      <c r="S300" s="621" t="s">
        <v>1184</v>
      </c>
      <c r="T300" s="619" t="s">
        <v>1051</v>
      </c>
    </row>
    <row r="301" spans="1:20">
      <c r="A301" s="630">
        <v>7351220</v>
      </c>
      <c r="B301" s="628"/>
      <c r="C301" s="623"/>
      <c r="D301" s="623"/>
      <c r="E301" s="627" t="s">
        <v>1148</v>
      </c>
      <c r="F301" s="631" t="s">
        <v>1209</v>
      </c>
      <c r="G301" s="661">
        <v>735</v>
      </c>
      <c r="H301" s="633">
        <v>1220</v>
      </c>
      <c r="I301" s="618"/>
      <c r="J301" s="619" t="s">
        <v>1148</v>
      </c>
      <c r="K301" s="618"/>
      <c r="L301" s="619">
        <v>131</v>
      </c>
      <c r="M301" s="620">
        <v>122</v>
      </c>
      <c r="N301" s="619"/>
      <c r="O301" s="619">
        <v>8</v>
      </c>
      <c r="P301" s="619" t="s">
        <v>760</v>
      </c>
      <c r="Q301" s="662"/>
      <c r="R301" s="618"/>
      <c r="S301" s="621" t="s">
        <v>1184</v>
      </c>
      <c r="T301" s="619" t="s">
        <v>1053</v>
      </c>
    </row>
    <row r="302" spans="1:20">
      <c r="A302" s="630">
        <v>7301220</v>
      </c>
      <c r="B302" s="628"/>
      <c r="C302" s="623"/>
      <c r="D302" s="623"/>
      <c r="E302" s="627" t="s">
        <v>1150</v>
      </c>
      <c r="F302" s="631" t="s">
        <v>1210</v>
      </c>
      <c r="G302" s="661">
        <v>730</v>
      </c>
      <c r="H302" s="633">
        <v>1220</v>
      </c>
      <c r="I302" s="618"/>
      <c r="J302" s="619" t="s">
        <v>1150</v>
      </c>
      <c r="K302" s="618"/>
      <c r="L302" s="619">
        <v>131</v>
      </c>
      <c r="M302" s="620">
        <v>122</v>
      </c>
      <c r="N302" s="619"/>
      <c r="O302" s="619">
        <v>8</v>
      </c>
      <c r="P302" s="619" t="s">
        <v>760</v>
      </c>
      <c r="Q302" s="662"/>
      <c r="R302" s="618"/>
      <c r="S302" s="621" t="s">
        <v>1184</v>
      </c>
      <c r="T302" s="619" t="s">
        <v>1055</v>
      </c>
    </row>
    <row r="303" spans="1:20">
      <c r="A303" s="630">
        <v>7001220</v>
      </c>
      <c r="B303" s="628"/>
      <c r="C303" s="623"/>
      <c r="D303" s="623"/>
      <c r="E303" s="627" t="s">
        <v>1152</v>
      </c>
      <c r="F303" s="631" t="s">
        <v>1211</v>
      </c>
      <c r="G303" s="661">
        <v>700</v>
      </c>
      <c r="H303" s="633">
        <v>1220</v>
      </c>
      <c r="I303" s="618"/>
      <c r="J303" s="619" t="s">
        <v>1152</v>
      </c>
      <c r="K303" s="618"/>
      <c r="L303" s="619">
        <v>132</v>
      </c>
      <c r="M303" s="620">
        <v>123</v>
      </c>
      <c r="N303" s="619"/>
      <c r="O303" s="619">
        <v>8</v>
      </c>
      <c r="P303" s="619" t="s">
        <v>760</v>
      </c>
      <c r="Q303" s="662"/>
      <c r="R303" s="618"/>
      <c r="S303" s="621" t="s">
        <v>1184</v>
      </c>
      <c r="T303" s="619" t="s">
        <v>1057</v>
      </c>
    </row>
    <row r="304" spans="1:20">
      <c r="A304" s="622"/>
      <c r="B304" s="628"/>
      <c r="C304" s="623"/>
      <c r="D304" s="623" t="s">
        <v>854</v>
      </c>
      <c r="E304" s="627" t="s">
        <v>256</v>
      </c>
      <c r="F304" s="626"/>
      <c r="G304" s="623"/>
      <c r="H304" s="627"/>
      <c r="I304" s="618"/>
      <c r="J304" s="618"/>
      <c r="K304" s="618"/>
      <c r="L304" s="618"/>
      <c r="M304" s="618"/>
      <c r="N304" s="618"/>
      <c r="O304" s="618"/>
      <c r="P304" s="618"/>
      <c r="Q304" s="662"/>
      <c r="R304" s="618"/>
      <c r="S304" s="621"/>
      <c r="T304" s="618"/>
    </row>
    <row r="305" spans="1:20">
      <c r="A305" s="630">
        <v>8951220</v>
      </c>
      <c r="B305" s="628"/>
      <c r="C305" s="623"/>
      <c r="D305" s="623"/>
      <c r="E305" s="627" t="s">
        <v>1154</v>
      </c>
      <c r="F305" s="631" t="s">
        <v>1212</v>
      </c>
      <c r="G305" s="661">
        <v>895</v>
      </c>
      <c r="H305" s="633">
        <v>1220</v>
      </c>
      <c r="I305" s="618"/>
      <c r="J305" s="619" t="s">
        <v>1154</v>
      </c>
      <c r="K305" s="618"/>
      <c r="L305" s="619">
        <v>139</v>
      </c>
      <c r="M305" s="620">
        <v>129</v>
      </c>
      <c r="N305" s="619"/>
      <c r="O305" s="619">
        <v>8</v>
      </c>
      <c r="P305" s="619" t="s">
        <v>760</v>
      </c>
      <c r="Q305" s="662"/>
      <c r="R305" s="618"/>
      <c r="S305" s="621" t="s">
        <v>1184</v>
      </c>
      <c r="T305" s="619" t="s">
        <v>1059</v>
      </c>
    </row>
    <row r="306" spans="1:20">
      <c r="A306" s="630">
        <v>8001220</v>
      </c>
      <c r="B306" s="628"/>
      <c r="C306" s="623"/>
      <c r="D306" s="623"/>
      <c r="E306" s="627" t="s">
        <v>1156</v>
      </c>
      <c r="F306" s="631" t="s">
        <v>1213</v>
      </c>
      <c r="G306" s="661">
        <v>800</v>
      </c>
      <c r="H306" s="633">
        <v>1220</v>
      </c>
      <c r="I306" s="618"/>
      <c r="J306" s="619" t="s">
        <v>1156</v>
      </c>
      <c r="K306" s="618"/>
      <c r="L306" s="619">
        <v>139</v>
      </c>
      <c r="M306" s="620">
        <v>129</v>
      </c>
      <c r="N306" s="619"/>
      <c r="O306" s="619">
        <v>8</v>
      </c>
      <c r="P306" s="619" t="s">
        <v>760</v>
      </c>
      <c r="Q306" s="662"/>
      <c r="R306" s="618"/>
      <c r="S306" s="621" t="s">
        <v>1184</v>
      </c>
      <c r="T306" s="619" t="s">
        <v>1061</v>
      </c>
    </row>
    <row r="307" spans="1:20">
      <c r="A307" s="622"/>
      <c r="B307" s="628"/>
      <c r="C307" s="623"/>
      <c r="D307" s="623" t="s">
        <v>857</v>
      </c>
      <c r="E307" s="627" t="s">
        <v>1063</v>
      </c>
      <c r="F307" s="626"/>
      <c r="G307" s="623"/>
      <c r="H307" s="627"/>
      <c r="I307" s="618"/>
      <c r="J307" s="618"/>
      <c r="K307" s="618"/>
      <c r="L307" s="618"/>
      <c r="M307" s="618"/>
      <c r="N307" s="618"/>
      <c r="O307" s="618"/>
      <c r="P307" s="618"/>
      <c r="Q307" s="662"/>
      <c r="R307" s="618"/>
      <c r="S307" s="621"/>
      <c r="T307" s="618"/>
    </row>
    <row r="308" spans="1:20">
      <c r="A308" s="630">
        <v>2101220</v>
      </c>
      <c r="B308" s="628"/>
      <c r="C308" s="623"/>
      <c r="D308" s="623"/>
      <c r="E308" s="627" t="s">
        <v>1158</v>
      </c>
      <c r="F308" s="631" t="s">
        <v>1214</v>
      </c>
      <c r="G308" s="661">
        <v>210</v>
      </c>
      <c r="H308" s="633">
        <v>1220</v>
      </c>
      <c r="I308" s="618"/>
      <c r="J308" s="619" t="s">
        <v>1158</v>
      </c>
      <c r="K308" s="618"/>
      <c r="L308" s="619">
        <v>89</v>
      </c>
      <c r="M308" s="620">
        <v>84</v>
      </c>
      <c r="N308" s="619"/>
      <c r="O308" s="619">
        <v>8</v>
      </c>
      <c r="P308" s="619" t="s">
        <v>760</v>
      </c>
      <c r="Q308" s="662" t="s">
        <v>1002</v>
      </c>
      <c r="R308" s="618"/>
      <c r="S308" s="621" t="s">
        <v>1184</v>
      </c>
      <c r="T308" s="619" t="s">
        <v>1064</v>
      </c>
    </row>
    <row r="309" spans="1:20">
      <c r="A309" s="630">
        <v>2201220</v>
      </c>
      <c r="B309" s="628"/>
      <c r="C309" s="623"/>
      <c r="D309" s="623"/>
      <c r="E309" s="627" t="s">
        <v>1160</v>
      </c>
      <c r="F309" s="631" t="s">
        <v>1215</v>
      </c>
      <c r="G309" s="661">
        <v>220</v>
      </c>
      <c r="H309" s="633">
        <v>1220</v>
      </c>
      <c r="I309" s="618"/>
      <c r="J309" s="619" t="s">
        <v>1160</v>
      </c>
      <c r="K309" s="618"/>
      <c r="L309" s="619">
        <v>90</v>
      </c>
      <c r="M309" s="620">
        <v>85</v>
      </c>
      <c r="N309" s="619"/>
      <c r="O309" s="619">
        <v>8</v>
      </c>
      <c r="P309" s="619" t="s">
        <v>760</v>
      </c>
      <c r="Q309" s="662" t="s">
        <v>1002</v>
      </c>
      <c r="R309" s="618"/>
      <c r="S309" s="621" t="s">
        <v>1184</v>
      </c>
      <c r="T309" s="619" t="s">
        <v>1066</v>
      </c>
    </row>
    <row r="310" spans="1:20">
      <c r="A310" s="630">
        <v>2251220</v>
      </c>
      <c r="B310" s="628"/>
      <c r="C310" s="623"/>
      <c r="D310" s="623"/>
      <c r="E310" s="627" t="s">
        <v>1162</v>
      </c>
      <c r="F310" s="631" t="s">
        <v>1216</v>
      </c>
      <c r="G310" s="661">
        <v>225</v>
      </c>
      <c r="H310" s="633">
        <v>1220</v>
      </c>
      <c r="I310" s="618"/>
      <c r="J310" s="619" t="s">
        <v>1162</v>
      </c>
      <c r="K310" s="618"/>
      <c r="L310" s="619">
        <v>91</v>
      </c>
      <c r="M310" s="620">
        <v>86</v>
      </c>
      <c r="N310" s="619"/>
      <c r="O310" s="619">
        <v>8</v>
      </c>
      <c r="P310" s="619" t="s">
        <v>760</v>
      </c>
      <c r="Q310" s="662" t="s">
        <v>1002</v>
      </c>
      <c r="R310" s="618"/>
      <c r="S310" s="621" t="s">
        <v>1184</v>
      </c>
      <c r="T310" s="619" t="s">
        <v>23</v>
      </c>
    </row>
    <row r="311" spans="1:20">
      <c r="A311" s="622"/>
      <c r="B311" s="628"/>
      <c r="C311" s="623"/>
      <c r="D311" s="623"/>
      <c r="E311" s="627" t="s">
        <v>1164</v>
      </c>
      <c r="F311" s="626"/>
      <c r="G311" s="623"/>
      <c r="H311" s="627"/>
      <c r="I311" s="618"/>
      <c r="J311" s="618"/>
      <c r="K311" s="618"/>
      <c r="L311" s="618"/>
      <c r="M311" s="618"/>
      <c r="N311" s="618"/>
      <c r="O311" s="618"/>
      <c r="P311" s="618"/>
      <c r="Q311" s="662"/>
      <c r="R311" s="618"/>
      <c r="S311" s="621"/>
      <c r="T311" s="618"/>
    </row>
    <row r="312" spans="1:20">
      <c r="A312" s="630">
        <v>2311220</v>
      </c>
      <c r="B312" s="628"/>
      <c r="C312" s="623"/>
      <c r="D312" s="623"/>
      <c r="E312" s="627" t="s">
        <v>1165</v>
      </c>
      <c r="F312" s="631" t="s">
        <v>1217</v>
      </c>
      <c r="G312" s="661">
        <v>231</v>
      </c>
      <c r="H312" s="633">
        <v>1220</v>
      </c>
      <c r="I312" s="618"/>
      <c r="J312" s="619" t="s">
        <v>1165</v>
      </c>
      <c r="K312" s="618"/>
      <c r="L312" s="619">
        <v>92</v>
      </c>
      <c r="M312" s="620">
        <v>87</v>
      </c>
      <c r="N312" s="619"/>
      <c r="O312" s="619">
        <v>8</v>
      </c>
      <c r="P312" s="619" t="s">
        <v>760</v>
      </c>
      <c r="Q312" s="662" t="s">
        <v>1002</v>
      </c>
      <c r="R312" s="618"/>
      <c r="S312" s="621" t="s">
        <v>1184</v>
      </c>
      <c r="T312" s="619" t="s">
        <v>1072</v>
      </c>
    </row>
    <row r="313" spans="1:20">
      <c r="A313" s="630">
        <v>2331220</v>
      </c>
      <c r="B313" s="628"/>
      <c r="C313" s="623"/>
      <c r="D313" s="623"/>
      <c r="E313" s="627" t="s">
        <v>1167</v>
      </c>
      <c r="F313" s="631" t="s">
        <v>1218</v>
      </c>
      <c r="G313" s="661">
        <v>233</v>
      </c>
      <c r="H313" s="633">
        <v>1220</v>
      </c>
      <c r="I313" s="618"/>
      <c r="J313" s="619" t="s">
        <v>1167</v>
      </c>
      <c r="K313" s="618"/>
      <c r="L313" s="619">
        <v>92</v>
      </c>
      <c r="M313" s="620">
        <v>87</v>
      </c>
      <c r="N313" s="619"/>
      <c r="O313" s="619">
        <v>8</v>
      </c>
      <c r="P313" s="619" t="s">
        <v>760</v>
      </c>
      <c r="Q313" s="662" t="s">
        <v>1002</v>
      </c>
      <c r="R313" s="618"/>
      <c r="S313" s="621" t="s">
        <v>1184</v>
      </c>
      <c r="T313" s="619" t="s">
        <v>1169</v>
      </c>
    </row>
    <row r="314" spans="1:20">
      <c r="A314" s="630">
        <v>2391220</v>
      </c>
      <c r="B314" s="628"/>
      <c r="C314" s="623"/>
      <c r="D314" s="623"/>
      <c r="E314" s="627" t="s">
        <v>1170</v>
      </c>
      <c r="F314" s="631" t="s">
        <v>1219</v>
      </c>
      <c r="G314" s="661">
        <v>239</v>
      </c>
      <c r="H314" s="633">
        <v>1220</v>
      </c>
      <c r="I314" s="618"/>
      <c r="J314" s="619" t="s">
        <v>1170</v>
      </c>
      <c r="K314" s="618"/>
      <c r="L314" s="619">
        <v>92</v>
      </c>
      <c r="M314" s="620">
        <v>87</v>
      </c>
      <c r="N314" s="619"/>
      <c r="O314" s="619">
        <v>8</v>
      </c>
      <c r="P314" s="619" t="s">
        <v>760</v>
      </c>
      <c r="Q314" s="662" t="s">
        <v>1002</v>
      </c>
      <c r="R314" s="618"/>
      <c r="S314" s="621" t="s">
        <v>1184</v>
      </c>
      <c r="T314" s="619" t="s">
        <v>1078</v>
      </c>
    </row>
    <row r="315" spans="1:20">
      <c r="A315" s="630">
        <v>2501220</v>
      </c>
      <c r="B315" s="628"/>
      <c r="C315" s="623"/>
      <c r="D315" s="623"/>
      <c r="E315" s="627" t="s">
        <v>1172</v>
      </c>
      <c r="F315" s="631" t="s">
        <v>1220</v>
      </c>
      <c r="G315" s="661">
        <v>250</v>
      </c>
      <c r="H315" s="633">
        <v>1220</v>
      </c>
      <c r="I315" s="618"/>
      <c r="J315" s="619" t="s">
        <v>1172</v>
      </c>
      <c r="K315" s="618"/>
      <c r="L315" s="619">
        <v>93</v>
      </c>
      <c r="M315" s="620">
        <v>88</v>
      </c>
      <c r="N315" s="619"/>
      <c r="O315" s="619">
        <v>8</v>
      </c>
      <c r="P315" s="619" t="s">
        <v>760</v>
      </c>
      <c r="Q315" s="662" t="s">
        <v>1002</v>
      </c>
      <c r="R315" s="618"/>
      <c r="S315" s="621" t="s">
        <v>1184</v>
      </c>
      <c r="T315" s="619" t="s">
        <v>1079</v>
      </c>
    </row>
    <row r="316" spans="1:20">
      <c r="A316" s="630">
        <v>2601220</v>
      </c>
      <c r="B316" s="628"/>
      <c r="C316" s="623"/>
      <c r="D316" s="623"/>
      <c r="E316" s="627" t="s">
        <v>1174</v>
      </c>
      <c r="F316" s="631" t="s">
        <v>1221</v>
      </c>
      <c r="G316" s="661">
        <v>260</v>
      </c>
      <c r="H316" s="633">
        <v>1220</v>
      </c>
      <c r="I316" s="618"/>
      <c r="J316" s="619" t="s">
        <v>1174</v>
      </c>
      <c r="K316" s="618"/>
      <c r="L316" s="619">
        <v>95</v>
      </c>
      <c r="M316" s="620">
        <v>90</v>
      </c>
      <c r="N316" s="619"/>
      <c r="O316" s="619">
        <v>8</v>
      </c>
      <c r="P316" s="619" t="s">
        <v>760</v>
      </c>
      <c r="Q316" s="662" t="s">
        <v>1002</v>
      </c>
      <c r="R316" s="618"/>
      <c r="S316" s="621" t="s">
        <v>1184</v>
      </c>
      <c r="T316" s="619" t="s">
        <v>1081</v>
      </c>
    </row>
    <row r="317" spans="1:20">
      <c r="A317" s="630">
        <v>2701220</v>
      </c>
      <c r="B317" s="628"/>
      <c r="C317" s="623"/>
      <c r="D317" s="623"/>
      <c r="E317" s="627" t="s">
        <v>1176</v>
      </c>
      <c r="F317" s="631" t="s">
        <v>1222</v>
      </c>
      <c r="G317" s="661">
        <v>270</v>
      </c>
      <c r="H317" s="633">
        <v>1220</v>
      </c>
      <c r="I317" s="618"/>
      <c r="J317" s="619" t="s">
        <v>1176</v>
      </c>
      <c r="K317" s="618"/>
      <c r="L317" s="619">
        <v>94</v>
      </c>
      <c r="M317" s="620">
        <v>89</v>
      </c>
      <c r="N317" s="619"/>
      <c r="O317" s="619">
        <v>8</v>
      </c>
      <c r="P317" s="619" t="s">
        <v>760</v>
      </c>
      <c r="Q317" s="662" t="s">
        <v>1002</v>
      </c>
      <c r="R317" s="618"/>
      <c r="S317" s="621" t="s">
        <v>1184</v>
      </c>
      <c r="T317" s="619" t="s">
        <v>1083</v>
      </c>
    </row>
    <row r="318" spans="1:20">
      <c r="A318" s="630">
        <v>2811220</v>
      </c>
      <c r="B318" s="628"/>
      <c r="C318" s="623"/>
      <c r="D318" s="623"/>
      <c r="E318" s="627" t="s">
        <v>1178</v>
      </c>
      <c r="F318" s="631" t="s">
        <v>1223</v>
      </c>
      <c r="G318" s="661">
        <v>281</v>
      </c>
      <c r="H318" s="633">
        <v>1220</v>
      </c>
      <c r="I318" s="618"/>
      <c r="J318" s="619" t="s">
        <v>1178</v>
      </c>
      <c r="K318" s="618"/>
      <c r="L318" s="619">
        <v>95</v>
      </c>
      <c r="M318" s="620">
        <v>90</v>
      </c>
      <c r="N318" s="619"/>
      <c r="O318" s="619">
        <v>8</v>
      </c>
      <c r="P318" s="619" t="s">
        <v>760</v>
      </c>
      <c r="Q318" s="662" t="s">
        <v>1002</v>
      </c>
      <c r="R318" s="618"/>
      <c r="S318" s="621" t="s">
        <v>1184</v>
      </c>
      <c r="T318" s="619" t="s">
        <v>1085</v>
      </c>
    </row>
    <row r="319" spans="1:20">
      <c r="A319" s="630">
        <v>2821220</v>
      </c>
      <c r="B319" s="628"/>
      <c r="C319" s="623"/>
      <c r="D319" s="623"/>
      <c r="E319" s="627" t="s">
        <v>1180</v>
      </c>
      <c r="F319" s="631" t="s">
        <v>1224</v>
      </c>
      <c r="G319" s="661">
        <v>282</v>
      </c>
      <c r="H319" s="633">
        <v>1220</v>
      </c>
      <c r="I319" s="618"/>
      <c r="J319" s="619" t="s">
        <v>1180</v>
      </c>
      <c r="K319" s="618"/>
      <c r="L319" s="619">
        <v>95</v>
      </c>
      <c r="M319" s="620">
        <v>90</v>
      </c>
      <c r="N319" s="619"/>
      <c r="O319" s="619">
        <v>8</v>
      </c>
      <c r="P319" s="619" t="s">
        <v>760</v>
      </c>
      <c r="Q319" s="662" t="s">
        <v>1002</v>
      </c>
      <c r="R319" s="618"/>
      <c r="S319" s="621" t="s">
        <v>1184</v>
      </c>
      <c r="T319" s="619" t="s">
        <v>1087</v>
      </c>
    </row>
    <row r="320" spans="1:20" ht="16" thickBot="1">
      <c r="A320" s="630">
        <v>2901220</v>
      </c>
      <c r="B320" s="667"/>
      <c r="C320" s="623"/>
      <c r="D320" s="623"/>
      <c r="E320" s="627" t="s">
        <v>1182</v>
      </c>
      <c r="F320" s="631" t="s">
        <v>1225</v>
      </c>
      <c r="G320" s="661">
        <v>290</v>
      </c>
      <c r="H320" s="633">
        <v>1220</v>
      </c>
      <c r="I320" s="618"/>
      <c r="J320" s="619" t="s">
        <v>1182</v>
      </c>
      <c r="K320" s="618"/>
      <c r="L320" s="619">
        <v>95</v>
      </c>
      <c r="M320" s="620">
        <v>90</v>
      </c>
      <c r="N320" s="619"/>
      <c r="O320" s="619">
        <v>8</v>
      </c>
      <c r="P320" s="619" t="s">
        <v>760</v>
      </c>
      <c r="Q320" s="662" t="s">
        <v>1002</v>
      </c>
      <c r="R320" s="618"/>
      <c r="S320" s="621" t="s">
        <v>1184</v>
      </c>
      <c r="T320" s="619" t="s">
        <v>1090</v>
      </c>
    </row>
    <row r="321" spans="1:20" ht="16.5" thickTop="1" thickBot="1">
      <c r="A321" s="622"/>
      <c r="B321" s="613"/>
      <c r="C321" s="772" t="s">
        <v>1226</v>
      </c>
      <c r="D321" s="773"/>
      <c r="E321" s="782"/>
      <c r="F321" s="656" t="s">
        <v>604</v>
      </c>
      <c r="G321" s="657"/>
      <c r="H321" s="658"/>
      <c r="I321" s="618"/>
      <c r="J321" s="618"/>
      <c r="K321" s="618"/>
      <c r="L321" s="618"/>
      <c r="M321" s="618"/>
      <c r="N321" s="618"/>
      <c r="O321" s="618"/>
      <c r="P321" s="618"/>
      <c r="Q321" s="662"/>
      <c r="R321" s="618"/>
      <c r="S321" s="621"/>
      <c r="T321" s="618"/>
    </row>
    <row r="322" spans="1:20" ht="16" thickTop="1">
      <c r="A322" s="622"/>
      <c r="B322" s="623"/>
      <c r="C322" s="628"/>
      <c r="D322" s="623"/>
      <c r="E322" s="627"/>
      <c r="F322" s="626"/>
      <c r="G322" s="623"/>
      <c r="H322" s="627"/>
      <c r="I322" s="618"/>
      <c r="J322" s="618"/>
      <c r="K322" s="618"/>
      <c r="L322" s="618"/>
      <c r="M322" s="618"/>
      <c r="N322" s="618"/>
      <c r="O322" s="618"/>
      <c r="P322" s="618"/>
      <c r="Q322" s="662"/>
      <c r="R322" s="618"/>
      <c r="S322" s="621"/>
      <c r="T322" s="618"/>
    </row>
    <row r="323" spans="1:20">
      <c r="A323" s="622"/>
      <c r="B323" s="628" t="s">
        <v>1227</v>
      </c>
      <c r="C323" s="790" t="s">
        <v>1228</v>
      </c>
      <c r="D323" s="771"/>
      <c r="E323" s="775"/>
      <c r="F323" s="626"/>
      <c r="G323" s="623"/>
      <c r="H323" s="627"/>
      <c r="I323" s="618"/>
      <c r="J323" s="618"/>
      <c r="K323" s="618"/>
      <c r="L323" s="618"/>
      <c r="M323" s="618"/>
      <c r="N323" s="618"/>
      <c r="O323" s="618"/>
      <c r="P323" s="618"/>
      <c r="Q323" s="662"/>
      <c r="R323" s="618"/>
      <c r="S323" s="621"/>
      <c r="T323" s="618"/>
    </row>
    <row r="324" spans="1:20">
      <c r="A324" s="622"/>
      <c r="B324" s="628"/>
      <c r="C324" s="629">
        <v>11</v>
      </c>
      <c r="D324" s="774" t="s">
        <v>244</v>
      </c>
      <c r="E324" s="775"/>
      <c r="F324" s="626"/>
      <c r="G324" s="623"/>
      <c r="H324" s="627"/>
      <c r="I324" s="618"/>
      <c r="J324" s="618"/>
      <c r="K324" s="618"/>
      <c r="L324" s="618"/>
      <c r="M324" s="618"/>
      <c r="N324" s="618"/>
      <c r="O324" s="618"/>
      <c r="P324" s="618"/>
      <c r="Q324" s="662"/>
      <c r="R324" s="618"/>
      <c r="S324" s="621"/>
      <c r="T324" s="618"/>
    </row>
    <row r="325" spans="1:20">
      <c r="A325" s="630">
        <v>1121310</v>
      </c>
      <c r="B325" s="628"/>
      <c r="C325" s="623"/>
      <c r="D325" s="623" t="s">
        <v>756</v>
      </c>
      <c r="E325" s="627" t="s">
        <v>1229</v>
      </c>
      <c r="F325" s="631" t="s">
        <v>1230</v>
      </c>
      <c r="G325" s="661">
        <v>112</v>
      </c>
      <c r="H325" s="633">
        <v>1310</v>
      </c>
      <c r="I325" s="618"/>
      <c r="J325" s="619" t="s">
        <v>1229</v>
      </c>
      <c r="K325" s="618"/>
      <c r="L325" s="619">
        <v>82</v>
      </c>
      <c r="M325" s="620">
        <v>77</v>
      </c>
      <c r="N325" s="619"/>
      <c r="O325" s="619">
        <v>9</v>
      </c>
      <c r="P325" s="619" t="s">
        <v>760</v>
      </c>
      <c r="Q325" s="662" t="s">
        <v>1002</v>
      </c>
      <c r="R325" s="618"/>
      <c r="S325" s="621" t="s">
        <v>1231</v>
      </c>
      <c r="T325" s="619" t="s">
        <v>1229</v>
      </c>
    </row>
    <row r="326" spans="1:20">
      <c r="A326" s="630">
        <v>1121340</v>
      </c>
      <c r="B326" s="628"/>
      <c r="C326" s="623"/>
      <c r="D326" s="623" t="s">
        <v>775</v>
      </c>
      <c r="E326" s="627" t="s">
        <v>1232</v>
      </c>
      <c r="F326" s="631" t="s">
        <v>1233</v>
      </c>
      <c r="G326" s="661">
        <v>112</v>
      </c>
      <c r="H326" s="633">
        <v>1340</v>
      </c>
      <c r="I326" s="618"/>
      <c r="J326" s="619" t="s">
        <v>1232</v>
      </c>
      <c r="K326" s="618"/>
      <c r="L326" s="619">
        <v>82</v>
      </c>
      <c r="M326" s="620">
        <v>77</v>
      </c>
      <c r="N326" s="619"/>
      <c r="O326" s="619">
        <v>9</v>
      </c>
      <c r="P326" s="619" t="s">
        <v>760</v>
      </c>
      <c r="Q326" s="662" t="s">
        <v>1002</v>
      </c>
      <c r="R326" s="618"/>
      <c r="S326" s="621" t="s">
        <v>1231</v>
      </c>
      <c r="T326" s="619" t="s">
        <v>1232</v>
      </c>
    </row>
    <row r="327" spans="1:20">
      <c r="A327" s="630">
        <v>1121350</v>
      </c>
      <c r="B327" s="628"/>
      <c r="C327" s="623"/>
      <c r="D327" s="623" t="s">
        <v>799</v>
      </c>
      <c r="E327" s="627" t="s">
        <v>1234</v>
      </c>
      <c r="F327" s="631" t="s">
        <v>1235</v>
      </c>
      <c r="G327" s="661">
        <v>112</v>
      </c>
      <c r="H327" s="633">
        <v>1350</v>
      </c>
      <c r="I327" s="618"/>
      <c r="J327" s="619" t="s">
        <v>1234</v>
      </c>
      <c r="K327" s="618"/>
      <c r="L327" s="619">
        <v>82</v>
      </c>
      <c r="M327" s="620">
        <v>77</v>
      </c>
      <c r="N327" s="619"/>
      <c r="O327" s="619">
        <v>9</v>
      </c>
      <c r="P327" s="619" t="s">
        <v>760</v>
      </c>
      <c r="Q327" s="662" t="s">
        <v>1002</v>
      </c>
      <c r="R327" s="618"/>
      <c r="S327" s="621" t="s">
        <v>1231</v>
      </c>
      <c r="T327" s="619" t="s">
        <v>1234</v>
      </c>
    </row>
    <row r="328" spans="1:20">
      <c r="A328" s="630">
        <v>1121360</v>
      </c>
      <c r="B328" s="628"/>
      <c r="C328" s="623"/>
      <c r="D328" s="623" t="s">
        <v>803</v>
      </c>
      <c r="E328" s="627" t="s">
        <v>1236</v>
      </c>
      <c r="F328" s="631" t="s">
        <v>1237</v>
      </c>
      <c r="G328" s="661">
        <v>112</v>
      </c>
      <c r="H328" s="633">
        <v>1360</v>
      </c>
      <c r="I328" s="618"/>
      <c r="J328" s="619" t="s">
        <v>1236</v>
      </c>
      <c r="K328" s="618"/>
      <c r="L328" s="619">
        <v>82</v>
      </c>
      <c r="M328" s="620">
        <v>77</v>
      </c>
      <c r="N328" s="619"/>
      <c r="O328" s="619">
        <v>9</v>
      </c>
      <c r="P328" s="619" t="s">
        <v>760</v>
      </c>
      <c r="Q328" s="662" t="s">
        <v>1002</v>
      </c>
      <c r="R328" s="618"/>
      <c r="S328" s="621" t="s">
        <v>1231</v>
      </c>
      <c r="T328" s="619" t="s">
        <v>1236</v>
      </c>
    </row>
    <row r="329" spans="1:20">
      <c r="A329" s="630">
        <v>1121370</v>
      </c>
      <c r="B329" s="628"/>
      <c r="C329" s="623"/>
      <c r="D329" s="623" t="s">
        <v>848</v>
      </c>
      <c r="E329" s="627" t="s">
        <v>1238</v>
      </c>
      <c r="F329" s="631" t="s">
        <v>1239</v>
      </c>
      <c r="G329" s="661">
        <v>112</v>
      </c>
      <c r="H329" s="633">
        <v>1370</v>
      </c>
      <c r="I329" s="618"/>
      <c r="J329" s="619" t="s">
        <v>1238</v>
      </c>
      <c r="K329" s="618"/>
      <c r="L329" s="619">
        <v>82</v>
      </c>
      <c r="M329" s="620">
        <v>77</v>
      </c>
      <c r="N329" s="619"/>
      <c r="O329" s="619">
        <v>9</v>
      </c>
      <c r="P329" s="619" t="s">
        <v>760</v>
      </c>
      <c r="Q329" s="662" t="s">
        <v>1002</v>
      </c>
      <c r="R329" s="618"/>
      <c r="S329" s="621" t="s">
        <v>1231</v>
      </c>
      <c r="T329" s="619" t="s">
        <v>1238</v>
      </c>
    </row>
    <row r="330" spans="1:20">
      <c r="A330" s="630">
        <v>1121390</v>
      </c>
      <c r="B330" s="628"/>
      <c r="C330" s="623"/>
      <c r="D330" s="623" t="s">
        <v>851</v>
      </c>
      <c r="E330" s="627" t="s">
        <v>1240</v>
      </c>
      <c r="F330" s="631" t="s">
        <v>1241</v>
      </c>
      <c r="G330" s="661">
        <v>112</v>
      </c>
      <c r="H330" s="633">
        <v>1390</v>
      </c>
      <c r="I330" s="618"/>
      <c r="J330" s="619" t="s">
        <v>1240</v>
      </c>
      <c r="K330" s="618"/>
      <c r="L330" s="619">
        <v>82</v>
      </c>
      <c r="M330" s="620">
        <v>77</v>
      </c>
      <c r="N330" s="619"/>
      <c r="O330" s="619">
        <v>9</v>
      </c>
      <c r="P330" s="619" t="s">
        <v>760</v>
      </c>
      <c r="Q330" s="662" t="s">
        <v>1002</v>
      </c>
      <c r="R330" s="618"/>
      <c r="S330" s="621" t="s">
        <v>1231</v>
      </c>
      <c r="T330" s="619" t="s">
        <v>1240</v>
      </c>
    </row>
    <row r="331" spans="1:20">
      <c r="A331" s="630">
        <v>1151300</v>
      </c>
      <c r="B331" s="628"/>
      <c r="C331" s="623"/>
      <c r="D331" s="623" t="s">
        <v>854</v>
      </c>
      <c r="E331" s="627" t="s">
        <v>1101</v>
      </c>
      <c r="F331" s="631" t="s">
        <v>1242</v>
      </c>
      <c r="G331" s="661">
        <v>115</v>
      </c>
      <c r="H331" s="633">
        <v>1300</v>
      </c>
      <c r="I331" s="618"/>
      <c r="J331" s="619" t="s">
        <v>1101</v>
      </c>
      <c r="K331" s="618"/>
      <c r="L331" s="619">
        <v>86</v>
      </c>
      <c r="M331" s="620">
        <v>81</v>
      </c>
      <c r="N331" s="619"/>
      <c r="O331" s="619">
        <v>9</v>
      </c>
      <c r="P331" s="619" t="s">
        <v>760</v>
      </c>
      <c r="Q331" s="662" t="s">
        <v>1002</v>
      </c>
      <c r="R331" s="618"/>
      <c r="S331" s="621" t="s">
        <v>1231</v>
      </c>
      <c r="T331" s="619" t="s">
        <v>1101</v>
      </c>
    </row>
    <row r="332" spans="1:20">
      <c r="A332" s="630">
        <v>1231300</v>
      </c>
      <c r="B332" s="628"/>
      <c r="C332" s="623"/>
      <c r="D332" s="623" t="s">
        <v>857</v>
      </c>
      <c r="E332" s="627" t="s">
        <v>1104</v>
      </c>
      <c r="F332" s="631" t="s">
        <v>1243</v>
      </c>
      <c r="G332" s="661">
        <v>123</v>
      </c>
      <c r="H332" s="633">
        <v>1300</v>
      </c>
      <c r="I332" s="618"/>
      <c r="J332" s="619" t="s">
        <v>1104</v>
      </c>
      <c r="K332" s="618"/>
      <c r="L332" s="619">
        <v>86</v>
      </c>
      <c r="M332" s="620">
        <v>81</v>
      </c>
      <c r="N332" s="619"/>
      <c r="O332" s="619">
        <v>9</v>
      </c>
      <c r="P332" s="619" t="s">
        <v>760</v>
      </c>
      <c r="Q332" s="662" t="s">
        <v>1002</v>
      </c>
      <c r="R332" s="618"/>
      <c r="S332" s="621" t="s">
        <v>1231</v>
      </c>
      <c r="T332" s="619" t="s">
        <v>1104</v>
      </c>
    </row>
    <row r="333" spans="1:20">
      <c r="A333" s="630">
        <v>1201300</v>
      </c>
      <c r="B333" s="628"/>
      <c r="C333" s="623"/>
      <c r="D333" s="623" t="s">
        <v>860</v>
      </c>
      <c r="E333" s="627" t="s">
        <v>1107</v>
      </c>
      <c r="F333" s="631" t="s">
        <v>1244</v>
      </c>
      <c r="G333" s="661">
        <v>120</v>
      </c>
      <c r="H333" s="633">
        <v>1300</v>
      </c>
      <c r="I333" s="618"/>
      <c r="J333" s="619" t="s">
        <v>1107</v>
      </c>
      <c r="K333" s="618"/>
      <c r="L333" s="619">
        <v>86</v>
      </c>
      <c r="M333" s="620">
        <v>81</v>
      </c>
      <c r="N333" s="619"/>
      <c r="O333" s="619">
        <v>9</v>
      </c>
      <c r="P333" s="619" t="s">
        <v>760</v>
      </c>
      <c r="Q333" s="662" t="s">
        <v>1002</v>
      </c>
      <c r="R333" s="618"/>
      <c r="S333" s="621" t="s">
        <v>1231</v>
      </c>
      <c r="T333" s="619" t="s">
        <v>1107</v>
      </c>
    </row>
    <row r="334" spans="1:20">
      <c r="A334" s="630">
        <v>1001300</v>
      </c>
      <c r="B334" s="628"/>
      <c r="C334" s="623"/>
      <c r="D334" s="623" t="s">
        <v>1089</v>
      </c>
      <c r="E334" s="627" t="s">
        <v>1015</v>
      </c>
      <c r="F334" s="631" t="s">
        <v>1245</v>
      </c>
      <c r="G334" s="661">
        <v>100</v>
      </c>
      <c r="H334" s="633">
        <v>1300</v>
      </c>
      <c r="I334" s="618"/>
      <c r="J334" s="619" t="s">
        <v>1015</v>
      </c>
      <c r="K334" s="618"/>
      <c r="L334" s="619">
        <v>86</v>
      </c>
      <c r="M334" s="620">
        <v>81</v>
      </c>
      <c r="N334" s="619"/>
      <c r="O334" s="619">
        <v>9</v>
      </c>
      <c r="P334" s="619" t="s">
        <v>760</v>
      </c>
      <c r="Q334" s="662" t="s">
        <v>1002</v>
      </c>
      <c r="R334" s="618"/>
      <c r="S334" s="621" t="s">
        <v>1231</v>
      </c>
      <c r="T334" s="619" t="s">
        <v>1015</v>
      </c>
    </row>
    <row r="335" spans="1:20">
      <c r="A335" s="630">
        <v>1401300</v>
      </c>
      <c r="B335" s="628"/>
      <c r="C335" s="623"/>
      <c r="D335" s="623" t="s">
        <v>1246</v>
      </c>
      <c r="E335" s="627" t="s">
        <v>1017</v>
      </c>
      <c r="F335" s="631" t="s">
        <v>1247</v>
      </c>
      <c r="G335" s="661">
        <v>140</v>
      </c>
      <c r="H335" s="633">
        <v>1300</v>
      </c>
      <c r="I335" s="618"/>
      <c r="J335" s="619" t="s">
        <v>1017</v>
      </c>
      <c r="K335" s="618"/>
      <c r="L335" s="619">
        <v>86</v>
      </c>
      <c r="M335" s="620">
        <v>81</v>
      </c>
      <c r="N335" s="619"/>
      <c r="O335" s="619">
        <v>9</v>
      </c>
      <c r="P335" s="619" t="s">
        <v>760</v>
      </c>
      <c r="Q335" s="662" t="s">
        <v>1002</v>
      </c>
      <c r="R335" s="618"/>
      <c r="S335" s="621" t="s">
        <v>1231</v>
      </c>
      <c r="T335" s="619" t="s">
        <v>1017</v>
      </c>
    </row>
    <row r="336" spans="1:20">
      <c r="A336" s="630">
        <v>3001300</v>
      </c>
      <c r="B336" s="628"/>
      <c r="C336" s="629">
        <v>12</v>
      </c>
      <c r="D336" s="774" t="s">
        <v>1112</v>
      </c>
      <c r="E336" s="775"/>
      <c r="F336" s="631" t="s">
        <v>1248</v>
      </c>
      <c r="G336" s="661">
        <v>300</v>
      </c>
      <c r="H336" s="633">
        <v>1300</v>
      </c>
      <c r="I336" s="618"/>
      <c r="J336" s="619" t="s">
        <v>1112</v>
      </c>
      <c r="K336" s="618"/>
      <c r="L336" s="619">
        <v>101</v>
      </c>
      <c r="M336" s="620">
        <v>96</v>
      </c>
      <c r="N336" s="619"/>
      <c r="O336" s="619">
        <v>9</v>
      </c>
      <c r="P336" s="619" t="s">
        <v>760</v>
      </c>
      <c r="Q336" s="662"/>
      <c r="R336" s="618"/>
      <c r="S336" s="621" t="s">
        <v>1231</v>
      </c>
      <c r="T336" s="619" t="s">
        <v>1112</v>
      </c>
    </row>
    <row r="337" spans="1:20">
      <c r="A337" s="622"/>
      <c r="B337" s="628"/>
      <c r="C337" s="629">
        <v>13</v>
      </c>
      <c r="D337" s="774" t="s">
        <v>250</v>
      </c>
      <c r="E337" s="775"/>
      <c r="F337" s="626"/>
      <c r="G337" s="623"/>
      <c r="H337" s="627"/>
      <c r="I337" s="618"/>
      <c r="J337" s="618"/>
      <c r="K337" s="618"/>
      <c r="L337" s="618"/>
      <c r="M337" s="618"/>
      <c r="N337" s="618"/>
      <c r="O337" s="618"/>
      <c r="P337" s="618"/>
      <c r="Q337" s="662"/>
      <c r="R337" s="618"/>
      <c r="S337" s="621"/>
      <c r="T337" s="618"/>
    </row>
    <row r="338" spans="1:20">
      <c r="A338" s="630">
        <v>4301300</v>
      </c>
      <c r="B338" s="628"/>
      <c r="C338" s="623"/>
      <c r="D338" s="623" t="s">
        <v>756</v>
      </c>
      <c r="E338" s="627" t="s">
        <v>1021</v>
      </c>
      <c r="F338" s="631" t="s">
        <v>1249</v>
      </c>
      <c r="G338" s="661">
        <v>430</v>
      </c>
      <c r="H338" s="633">
        <v>1300</v>
      </c>
      <c r="I338" s="618"/>
      <c r="J338" s="619" t="s">
        <v>1021</v>
      </c>
      <c r="K338" s="618"/>
      <c r="L338" s="619">
        <v>107</v>
      </c>
      <c r="M338" s="620">
        <v>102</v>
      </c>
      <c r="N338" s="619"/>
      <c r="O338" s="619">
        <v>9</v>
      </c>
      <c r="P338" s="619" t="s">
        <v>760</v>
      </c>
      <c r="Q338" s="662"/>
      <c r="R338" s="618"/>
      <c r="S338" s="621" t="s">
        <v>1231</v>
      </c>
      <c r="T338" s="619" t="s">
        <v>1021</v>
      </c>
    </row>
    <row r="339" spans="1:20">
      <c r="A339" s="630">
        <v>4421300</v>
      </c>
      <c r="B339" s="628"/>
      <c r="C339" s="623"/>
      <c r="D339" s="623" t="s">
        <v>775</v>
      </c>
      <c r="E339" s="627" t="s">
        <v>1023</v>
      </c>
      <c r="F339" s="631" t="s">
        <v>1250</v>
      </c>
      <c r="G339" s="661">
        <v>442</v>
      </c>
      <c r="H339" s="633">
        <v>1300</v>
      </c>
      <c r="I339" s="618"/>
      <c r="J339" s="619" t="s">
        <v>1023</v>
      </c>
      <c r="K339" s="618"/>
      <c r="L339" s="619">
        <v>106</v>
      </c>
      <c r="M339" s="620">
        <v>101</v>
      </c>
      <c r="N339" s="619"/>
      <c r="O339" s="619">
        <v>9</v>
      </c>
      <c r="P339" s="619" t="s">
        <v>760</v>
      </c>
      <c r="Q339" s="662"/>
      <c r="R339" s="618"/>
      <c r="S339" s="621" t="s">
        <v>1231</v>
      </c>
      <c r="T339" s="619" t="s">
        <v>1023</v>
      </c>
    </row>
    <row r="340" spans="1:20">
      <c r="A340" s="630">
        <v>4001300</v>
      </c>
      <c r="B340" s="628"/>
      <c r="C340" s="623"/>
      <c r="D340" s="623" t="s">
        <v>799</v>
      </c>
      <c r="E340" s="627" t="s">
        <v>1025</v>
      </c>
      <c r="F340" s="631" t="s">
        <v>1251</v>
      </c>
      <c r="G340" s="661">
        <v>400</v>
      </c>
      <c r="H340" s="633">
        <v>1300</v>
      </c>
      <c r="I340" s="618"/>
      <c r="J340" s="619" t="s">
        <v>1025</v>
      </c>
      <c r="K340" s="618"/>
      <c r="L340" s="619">
        <v>108</v>
      </c>
      <c r="M340" s="620">
        <v>103</v>
      </c>
      <c r="N340" s="619"/>
      <c r="O340" s="619">
        <v>9</v>
      </c>
      <c r="P340" s="619" t="s">
        <v>760</v>
      </c>
      <c r="Q340" s="662"/>
      <c r="R340" s="618"/>
      <c r="S340" s="621" t="s">
        <v>1231</v>
      </c>
      <c r="T340" s="619" t="s">
        <v>1025</v>
      </c>
    </row>
    <row r="341" spans="1:20">
      <c r="A341" s="622"/>
      <c r="B341" s="628"/>
      <c r="C341" s="629">
        <v>14</v>
      </c>
      <c r="D341" s="774" t="s">
        <v>252</v>
      </c>
      <c r="E341" s="775"/>
      <c r="F341" s="626"/>
      <c r="G341" s="623"/>
      <c r="H341" s="627"/>
      <c r="I341" s="618"/>
      <c r="J341" s="618"/>
      <c r="K341" s="618"/>
      <c r="L341" s="618"/>
      <c r="M341" s="618"/>
      <c r="N341" s="618"/>
      <c r="O341" s="618"/>
      <c r="P341" s="618"/>
      <c r="Q341" s="662"/>
      <c r="R341" s="618"/>
      <c r="S341" s="621"/>
      <c r="T341" s="618"/>
    </row>
    <row r="342" spans="1:20">
      <c r="A342" s="622"/>
      <c r="B342" s="628"/>
      <c r="C342" s="623"/>
      <c r="D342" s="623" t="s">
        <v>756</v>
      </c>
      <c r="E342" s="627" t="s">
        <v>1027</v>
      </c>
      <c r="F342" s="626"/>
      <c r="G342" s="623"/>
      <c r="H342" s="627"/>
      <c r="I342" s="618"/>
      <c r="J342" s="618"/>
      <c r="K342" s="618"/>
      <c r="L342" s="618"/>
      <c r="M342" s="618"/>
      <c r="N342" s="618"/>
      <c r="O342" s="618"/>
      <c r="P342" s="618"/>
      <c r="Q342" s="662"/>
      <c r="R342" s="618"/>
      <c r="S342" s="621"/>
      <c r="T342" s="618"/>
    </row>
    <row r="343" spans="1:20">
      <c r="A343" s="630">
        <v>5611300</v>
      </c>
      <c r="B343" s="628"/>
      <c r="C343" s="623"/>
      <c r="D343" s="623"/>
      <c r="E343" s="627" t="s">
        <v>1252</v>
      </c>
      <c r="F343" s="631" t="s">
        <v>1253</v>
      </c>
      <c r="G343" s="661">
        <v>561</v>
      </c>
      <c r="H343" s="633">
        <v>1300</v>
      </c>
      <c r="I343" s="618"/>
      <c r="J343" s="619" t="s">
        <v>1252</v>
      </c>
      <c r="K343" s="618"/>
      <c r="L343" s="619">
        <v>119</v>
      </c>
      <c r="M343" s="620">
        <v>110</v>
      </c>
      <c r="N343" s="619"/>
      <c r="O343" s="619">
        <v>9</v>
      </c>
      <c r="P343" s="619" t="s">
        <v>760</v>
      </c>
      <c r="Q343" s="662"/>
      <c r="R343" s="618"/>
      <c r="S343" s="621" t="s">
        <v>1231</v>
      </c>
      <c r="T343" s="619" t="s">
        <v>1197</v>
      </c>
    </row>
    <row r="344" spans="1:20">
      <c r="A344" s="630">
        <v>5621300</v>
      </c>
      <c r="B344" s="628"/>
      <c r="C344" s="623"/>
      <c r="D344" s="623"/>
      <c r="E344" s="627" t="s">
        <v>1254</v>
      </c>
      <c r="F344" s="631" t="s">
        <v>1255</v>
      </c>
      <c r="G344" s="661">
        <v>562</v>
      </c>
      <c r="H344" s="633">
        <v>1300</v>
      </c>
      <c r="I344" s="618"/>
      <c r="J344" s="619" t="s">
        <v>1254</v>
      </c>
      <c r="K344" s="618"/>
      <c r="L344" s="619">
        <v>119</v>
      </c>
      <c r="M344" s="620">
        <v>110</v>
      </c>
      <c r="N344" s="619"/>
      <c r="O344" s="619">
        <v>9</v>
      </c>
      <c r="P344" s="619" t="s">
        <v>760</v>
      </c>
      <c r="Q344" s="662"/>
      <c r="R344" s="618"/>
      <c r="S344" s="621" t="s">
        <v>1231</v>
      </c>
      <c r="T344" s="619" t="s">
        <v>1256</v>
      </c>
    </row>
    <row r="345" spans="1:20">
      <c r="A345" s="630">
        <v>5631300</v>
      </c>
      <c r="B345" s="628"/>
      <c r="C345" s="623"/>
      <c r="D345" s="623"/>
      <c r="E345" s="627" t="s">
        <v>1034</v>
      </c>
      <c r="F345" s="631" t="s">
        <v>1257</v>
      </c>
      <c r="G345" s="661">
        <v>563</v>
      </c>
      <c r="H345" s="633">
        <v>1300</v>
      </c>
      <c r="I345" s="618"/>
      <c r="J345" s="619" t="s">
        <v>1034</v>
      </c>
      <c r="K345" s="618"/>
      <c r="L345" s="619">
        <v>119</v>
      </c>
      <c r="M345" s="620">
        <v>110</v>
      </c>
      <c r="N345" s="619"/>
      <c r="O345" s="619">
        <v>9</v>
      </c>
      <c r="P345" s="619" t="s">
        <v>760</v>
      </c>
      <c r="Q345" s="662"/>
      <c r="R345" s="618"/>
      <c r="S345" s="621" t="s">
        <v>1231</v>
      </c>
      <c r="T345" s="619" t="s">
        <v>1036</v>
      </c>
    </row>
    <row r="346" spans="1:20">
      <c r="A346" s="630">
        <v>5641300</v>
      </c>
      <c r="B346" s="628"/>
      <c r="C346" s="623"/>
      <c r="D346" s="623"/>
      <c r="E346" s="627" t="s">
        <v>1258</v>
      </c>
      <c r="F346" s="631" t="s">
        <v>1259</v>
      </c>
      <c r="G346" s="661">
        <v>564</v>
      </c>
      <c r="H346" s="633">
        <v>1300</v>
      </c>
      <c r="I346" s="618"/>
      <c r="J346" s="619" t="s">
        <v>1258</v>
      </c>
      <c r="K346" s="618"/>
      <c r="L346" s="619">
        <v>119</v>
      </c>
      <c r="M346" s="620">
        <v>110</v>
      </c>
      <c r="N346" s="619"/>
      <c r="O346" s="619">
        <v>9</v>
      </c>
      <c r="P346" s="619" t="s">
        <v>760</v>
      </c>
      <c r="Q346" s="662"/>
      <c r="R346" s="618"/>
      <c r="S346" s="621" t="s">
        <v>1231</v>
      </c>
      <c r="T346" s="619" t="s">
        <v>1260</v>
      </c>
    </row>
    <row r="347" spans="1:20">
      <c r="A347" s="630">
        <v>5821300</v>
      </c>
      <c r="B347" s="628"/>
      <c r="C347" s="623"/>
      <c r="D347" s="623" t="s">
        <v>775</v>
      </c>
      <c r="E347" s="627" t="s">
        <v>1037</v>
      </c>
      <c r="F347" s="631" t="s">
        <v>1261</v>
      </c>
      <c r="G347" s="661">
        <v>582</v>
      </c>
      <c r="H347" s="633">
        <v>1300</v>
      </c>
      <c r="I347" s="618"/>
      <c r="J347" s="619" t="s">
        <v>1037</v>
      </c>
      <c r="K347" s="618"/>
      <c r="L347" s="619">
        <v>118</v>
      </c>
      <c r="M347" s="620">
        <v>109</v>
      </c>
      <c r="N347" s="619"/>
      <c r="O347" s="619">
        <v>9</v>
      </c>
      <c r="P347" s="619" t="s">
        <v>760</v>
      </c>
      <c r="Q347" s="662"/>
      <c r="R347" s="618"/>
      <c r="S347" s="621" t="s">
        <v>1231</v>
      </c>
      <c r="T347" s="619" t="s">
        <v>1037</v>
      </c>
    </row>
    <row r="348" spans="1:20">
      <c r="A348" s="630">
        <v>5001300</v>
      </c>
      <c r="B348" s="628"/>
      <c r="C348" s="623"/>
      <c r="D348" s="623" t="s">
        <v>799</v>
      </c>
      <c r="E348" s="627" t="s">
        <v>252</v>
      </c>
      <c r="F348" s="634" t="s">
        <v>1262</v>
      </c>
      <c r="G348" s="629">
        <v>500</v>
      </c>
      <c r="H348" s="635">
        <v>1300</v>
      </c>
      <c r="I348" s="618"/>
      <c r="J348" s="619" t="s">
        <v>252</v>
      </c>
      <c r="K348" s="618"/>
      <c r="L348" s="619">
        <v>119</v>
      </c>
      <c r="M348" s="620">
        <v>110</v>
      </c>
      <c r="N348" s="619"/>
      <c r="O348" s="619">
        <v>9</v>
      </c>
      <c r="P348" s="619" t="s">
        <v>760</v>
      </c>
      <c r="Q348" s="662"/>
      <c r="R348" s="618"/>
      <c r="S348" s="621" t="s">
        <v>1231</v>
      </c>
      <c r="T348" s="619" t="s">
        <v>252</v>
      </c>
    </row>
    <row r="349" spans="1:20">
      <c r="A349" s="622"/>
      <c r="B349" s="628"/>
      <c r="C349" s="629">
        <v>15</v>
      </c>
      <c r="D349" s="774" t="s">
        <v>1040</v>
      </c>
      <c r="E349" s="775"/>
      <c r="F349" s="626"/>
      <c r="G349" s="623"/>
      <c r="H349" s="627"/>
      <c r="I349" s="618"/>
      <c r="J349" s="618"/>
      <c r="K349" s="618"/>
      <c r="L349" s="618"/>
      <c r="M349" s="618"/>
      <c r="N349" s="618"/>
      <c r="O349" s="618"/>
      <c r="P349" s="618"/>
      <c r="Q349" s="662"/>
      <c r="R349" s="618"/>
      <c r="S349" s="621"/>
      <c r="T349" s="618"/>
    </row>
    <row r="350" spans="1:20">
      <c r="A350" s="630">
        <v>6151300</v>
      </c>
      <c r="B350" s="628"/>
      <c r="C350" s="623"/>
      <c r="D350" s="623" t="s">
        <v>756</v>
      </c>
      <c r="E350" s="627" t="s">
        <v>1041</v>
      </c>
      <c r="F350" s="631" t="s">
        <v>1263</v>
      </c>
      <c r="G350" s="661">
        <v>615</v>
      </c>
      <c r="H350" s="633">
        <v>1300</v>
      </c>
      <c r="I350" s="618"/>
      <c r="J350" s="619" t="s">
        <v>1041</v>
      </c>
      <c r="K350" s="618"/>
      <c r="L350" s="619">
        <v>126</v>
      </c>
      <c r="M350" s="620">
        <v>117</v>
      </c>
      <c r="N350" s="619"/>
      <c r="O350" s="619">
        <v>9</v>
      </c>
      <c r="P350" s="619" t="s">
        <v>760</v>
      </c>
      <c r="Q350" s="662" t="s">
        <v>1043</v>
      </c>
      <c r="R350" s="618"/>
      <c r="S350" s="621" t="s">
        <v>1231</v>
      </c>
      <c r="T350" s="619" t="s">
        <v>1041</v>
      </c>
    </row>
    <row r="351" spans="1:20">
      <c r="A351" s="630">
        <v>6101300</v>
      </c>
      <c r="B351" s="628"/>
      <c r="C351" s="623"/>
      <c r="D351" s="623" t="s">
        <v>775</v>
      </c>
      <c r="E351" s="627" t="s">
        <v>1264</v>
      </c>
      <c r="F351" s="631" t="s">
        <v>1265</v>
      </c>
      <c r="G351" s="661">
        <v>610</v>
      </c>
      <c r="H351" s="633">
        <v>1300</v>
      </c>
      <c r="I351" s="618"/>
      <c r="J351" s="619" t="s">
        <v>1264</v>
      </c>
      <c r="K351" s="618"/>
      <c r="L351" s="619">
        <v>122</v>
      </c>
      <c r="M351" s="620">
        <v>113</v>
      </c>
      <c r="N351" s="619"/>
      <c r="O351" s="619">
        <v>9</v>
      </c>
      <c r="P351" s="619" t="s">
        <v>760</v>
      </c>
      <c r="Q351" s="662" t="s">
        <v>1043</v>
      </c>
      <c r="R351" s="618"/>
      <c r="S351" s="621" t="s">
        <v>1231</v>
      </c>
      <c r="T351" s="619" t="s">
        <v>39</v>
      </c>
    </row>
    <row r="352" spans="1:20">
      <c r="A352" s="630">
        <v>6421300</v>
      </c>
      <c r="B352" s="628"/>
      <c r="C352" s="623"/>
      <c r="D352" s="623" t="s">
        <v>799</v>
      </c>
      <c r="E352" s="627" t="s">
        <v>1046</v>
      </c>
      <c r="F352" s="631" t="s">
        <v>1266</v>
      </c>
      <c r="G352" s="661">
        <v>642</v>
      </c>
      <c r="H352" s="633">
        <v>1300</v>
      </c>
      <c r="I352" s="618"/>
      <c r="J352" s="619" t="s">
        <v>1046</v>
      </c>
      <c r="K352" s="618"/>
      <c r="L352" s="619">
        <v>125</v>
      </c>
      <c r="M352" s="620">
        <v>116</v>
      </c>
      <c r="N352" s="619"/>
      <c r="O352" s="619">
        <v>9</v>
      </c>
      <c r="P352" s="619" t="s">
        <v>760</v>
      </c>
      <c r="Q352" s="662" t="s">
        <v>1043</v>
      </c>
      <c r="R352" s="618"/>
      <c r="S352" s="621" t="s">
        <v>1231</v>
      </c>
      <c r="T352" s="619" t="s">
        <v>1046</v>
      </c>
    </row>
    <row r="353" spans="1:20">
      <c r="A353" s="630">
        <v>6001300</v>
      </c>
      <c r="B353" s="628"/>
      <c r="C353" s="623"/>
      <c r="D353" s="623" t="s">
        <v>803</v>
      </c>
      <c r="E353" s="627" t="s">
        <v>1048</v>
      </c>
      <c r="F353" s="631" t="s">
        <v>1267</v>
      </c>
      <c r="G353" s="661">
        <v>600</v>
      </c>
      <c r="H353" s="633">
        <v>1300</v>
      </c>
      <c r="I353" s="618"/>
      <c r="J353" s="619" t="s">
        <v>1048</v>
      </c>
      <c r="K353" s="618"/>
      <c r="L353" s="619">
        <v>126</v>
      </c>
      <c r="M353" s="620">
        <v>117</v>
      </c>
      <c r="N353" s="619"/>
      <c r="O353" s="619">
        <v>9</v>
      </c>
      <c r="P353" s="619" t="s">
        <v>760</v>
      </c>
      <c r="Q353" s="662"/>
      <c r="R353" s="618"/>
      <c r="S353" s="621" t="s">
        <v>1231</v>
      </c>
      <c r="T353" s="619" t="s">
        <v>1048</v>
      </c>
    </row>
    <row r="354" spans="1:20">
      <c r="A354" s="622"/>
      <c r="B354" s="628"/>
      <c r="C354" s="629">
        <v>16</v>
      </c>
      <c r="D354" s="774" t="s">
        <v>1050</v>
      </c>
      <c r="E354" s="775"/>
      <c r="F354" s="626"/>
      <c r="G354" s="623"/>
      <c r="H354" s="627"/>
      <c r="I354" s="618"/>
      <c r="J354" s="618"/>
      <c r="K354" s="618"/>
      <c r="L354" s="618"/>
      <c r="M354" s="618"/>
      <c r="N354" s="618"/>
      <c r="O354" s="618"/>
      <c r="P354" s="618"/>
      <c r="Q354" s="662"/>
      <c r="R354" s="618"/>
      <c r="S354" s="621"/>
      <c r="T354" s="618"/>
    </row>
    <row r="355" spans="1:20">
      <c r="A355" s="630">
        <v>7341300</v>
      </c>
      <c r="B355" s="628"/>
      <c r="C355" s="623"/>
      <c r="D355" s="623" t="s">
        <v>756</v>
      </c>
      <c r="E355" s="627" t="s">
        <v>1051</v>
      </c>
      <c r="F355" s="631" t="s">
        <v>1268</v>
      </c>
      <c r="G355" s="661">
        <v>734</v>
      </c>
      <c r="H355" s="633">
        <v>1300</v>
      </c>
      <c r="I355" s="618"/>
      <c r="J355" s="619" t="s">
        <v>1051</v>
      </c>
      <c r="K355" s="618"/>
      <c r="L355" s="619">
        <v>131</v>
      </c>
      <c r="M355" s="620">
        <v>122</v>
      </c>
      <c r="N355" s="619"/>
      <c r="O355" s="619">
        <v>9</v>
      </c>
      <c r="P355" s="619" t="s">
        <v>760</v>
      </c>
      <c r="Q355" s="662"/>
      <c r="R355" s="618"/>
      <c r="S355" s="621" t="s">
        <v>1231</v>
      </c>
      <c r="T355" s="619" t="s">
        <v>1051</v>
      </c>
    </row>
    <row r="356" spans="1:20">
      <c r="A356" s="630">
        <v>7351300</v>
      </c>
      <c r="B356" s="628"/>
      <c r="C356" s="623"/>
      <c r="D356" s="623" t="s">
        <v>775</v>
      </c>
      <c r="E356" s="627" t="s">
        <v>1053</v>
      </c>
      <c r="F356" s="631" t="s">
        <v>1269</v>
      </c>
      <c r="G356" s="661">
        <v>735</v>
      </c>
      <c r="H356" s="633">
        <v>1300</v>
      </c>
      <c r="I356" s="618"/>
      <c r="J356" s="619" t="s">
        <v>1053</v>
      </c>
      <c r="K356" s="618"/>
      <c r="L356" s="619">
        <v>131</v>
      </c>
      <c r="M356" s="620">
        <v>122</v>
      </c>
      <c r="N356" s="619"/>
      <c r="O356" s="619">
        <v>9</v>
      </c>
      <c r="P356" s="619" t="s">
        <v>760</v>
      </c>
      <c r="Q356" s="662"/>
      <c r="R356" s="618"/>
      <c r="S356" s="621" t="s">
        <v>1231</v>
      </c>
      <c r="T356" s="619" t="s">
        <v>1053</v>
      </c>
    </row>
    <row r="357" spans="1:20">
      <c r="A357" s="630">
        <v>7301300</v>
      </c>
      <c r="B357" s="628"/>
      <c r="C357" s="623"/>
      <c r="D357" s="623" t="s">
        <v>799</v>
      </c>
      <c r="E357" s="627" t="s">
        <v>1055</v>
      </c>
      <c r="F357" s="631" t="s">
        <v>1270</v>
      </c>
      <c r="G357" s="661">
        <v>730</v>
      </c>
      <c r="H357" s="633">
        <v>1300</v>
      </c>
      <c r="I357" s="618"/>
      <c r="J357" s="619" t="s">
        <v>1055</v>
      </c>
      <c r="K357" s="618"/>
      <c r="L357" s="619">
        <v>131</v>
      </c>
      <c r="M357" s="620">
        <v>122</v>
      </c>
      <c r="N357" s="619"/>
      <c r="O357" s="619">
        <v>9</v>
      </c>
      <c r="P357" s="619" t="s">
        <v>760</v>
      </c>
      <c r="Q357" s="662"/>
      <c r="R357" s="618"/>
      <c r="S357" s="621" t="s">
        <v>1231</v>
      </c>
      <c r="T357" s="619" t="s">
        <v>1055</v>
      </c>
    </row>
    <row r="358" spans="1:20">
      <c r="A358" s="630">
        <v>7001300</v>
      </c>
      <c r="B358" s="628"/>
      <c r="C358" s="623"/>
      <c r="D358" s="623" t="s">
        <v>803</v>
      </c>
      <c r="E358" s="627" t="s">
        <v>1057</v>
      </c>
      <c r="F358" s="631" t="s">
        <v>1271</v>
      </c>
      <c r="G358" s="661">
        <v>700</v>
      </c>
      <c r="H358" s="633">
        <v>1300</v>
      </c>
      <c r="I358" s="618"/>
      <c r="J358" s="619" t="s">
        <v>1057</v>
      </c>
      <c r="K358" s="618"/>
      <c r="L358" s="619">
        <v>132</v>
      </c>
      <c r="M358" s="620">
        <v>123</v>
      </c>
      <c r="N358" s="619"/>
      <c r="O358" s="619">
        <v>9</v>
      </c>
      <c r="P358" s="619" t="s">
        <v>760</v>
      </c>
      <c r="Q358" s="662"/>
      <c r="R358" s="618"/>
      <c r="S358" s="621" t="s">
        <v>1231</v>
      </c>
      <c r="T358" s="619" t="s">
        <v>1057</v>
      </c>
    </row>
    <row r="359" spans="1:20">
      <c r="A359" s="622"/>
      <c r="B359" s="628"/>
      <c r="C359" s="629">
        <v>17</v>
      </c>
      <c r="D359" s="774" t="s">
        <v>256</v>
      </c>
      <c r="E359" s="775"/>
      <c r="F359" s="626"/>
      <c r="G359" s="623"/>
      <c r="H359" s="627"/>
      <c r="I359" s="618"/>
      <c r="J359" s="618"/>
      <c r="K359" s="618"/>
      <c r="L359" s="618"/>
      <c r="M359" s="618"/>
      <c r="N359" s="618"/>
      <c r="O359" s="618"/>
      <c r="P359" s="618"/>
      <c r="Q359" s="662"/>
      <c r="R359" s="618"/>
      <c r="S359" s="621"/>
      <c r="T359" s="618"/>
    </row>
    <row r="360" spans="1:20">
      <c r="A360" s="630">
        <v>8951300</v>
      </c>
      <c r="B360" s="628"/>
      <c r="C360" s="623"/>
      <c r="D360" s="623" t="s">
        <v>756</v>
      </c>
      <c r="E360" s="627" t="s">
        <v>1059</v>
      </c>
      <c r="F360" s="634" t="s">
        <v>1272</v>
      </c>
      <c r="G360" s="629">
        <v>895</v>
      </c>
      <c r="H360" s="635">
        <v>1300</v>
      </c>
      <c r="I360" s="618"/>
      <c r="J360" s="619" t="s">
        <v>1059</v>
      </c>
      <c r="K360" s="618"/>
      <c r="L360" s="619">
        <v>139</v>
      </c>
      <c r="M360" s="620">
        <v>129</v>
      </c>
      <c r="N360" s="619"/>
      <c r="O360" s="619">
        <v>9</v>
      </c>
      <c r="P360" s="619" t="s">
        <v>760</v>
      </c>
      <c r="Q360" s="662"/>
      <c r="R360" s="618"/>
      <c r="S360" s="621" t="s">
        <v>1231</v>
      </c>
      <c r="T360" s="619" t="s">
        <v>1059</v>
      </c>
    </row>
    <row r="361" spans="1:20">
      <c r="A361" s="630">
        <v>8001300</v>
      </c>
      <c r="B361" s="628"/>
      <c r="C361" s="623"/>
      <c r="D361" s="623" t="s">
        <v>775</v>
      </c>
      <c r="E361" s="627" t="s">
        <v>1061</v>
      </c>
      <c r="F361" s="634" t="s">
        <v>1273</v>
      </c>
      <c r="G361" s="629">
        <v>800</v>
      </c>
      <c r="H361" s="635">
        <v>1300</v>
      </c>
      <c r="I361" s="618"/>
      <c r="J361" s="619" t="s">
        <v>1061</v>
      </c>
      <c r="K361" s="618"/>
      <c r="L361" s="619">
        <v>139</v>
      </c>
      <c r="M361" s="620">
        <v>129</v>
      </c>
      <c r="N361" s="619"/>
      <c r="O361" s="619">
        <v>9</v>
      </c>
      <c r="P361" s="619" t="s">
        <v>760</v>
      </c>
      <c r="Q361" s="662"/>
      <c r="R361" s="618"/>
      <c r="S361" s="621" t="s">
        <v>1231</v>
      </c>
      <c r="T361" s="619" t="s">
        <v>1061</v>
      </c>
    </row>
    <row r="362" spans="1:20">
      <c r="A362" s="622"/>
      <c r="B362" s="628"/>
      <c r="C362" s="629">
        <v>18</v>
      </c>
      <c r="D362" s="774" t="s">
        <v>1063</v>
      </c>
      <c r="E362" s="775"/>
      <c r="F362" s="626"/>
      <c r="G362" s="623"/>
      <c r="H362" s="627"/>
      <c r="I362" s="618"/>
      <c r="J362" s="618"/>
      <c r="K362" s="618"/>
      <c r="L362" s="618"/>
      <c r="M362" s="618"/>
      <c r="N362" s="618"/>
      <c r="O362" s="618"/>
      <c r="P362" s="618"/>
      <c r="Q362" s="662"/>
      <c r="R362" s="618"/>
      <c r="S362" s="621"/>
      <c r="T362" s="618"/>
    </row>
    <row r="363" spans="1:20">
      <c r="A363" s="630">
        <v>2101300</v>
      </c>
      <c r="B363" s="628"/>
      <c r="C363" s="623"/>
      <c r="D363" s="623" t="s">
        <v>756</v>
      </c>
      <c r="E363" s="627" t="s">
        <v>1064</v>
      </c>
      <c r="F363" s="631" t="s">
        <v>1274</v>
      </c>
      <c r="G363" s="661">
        <v>210</v>
      </c>
      <c r="H363" s="633">
        <v>1300</v>
      </c>
      <c r="I363" s="618"/>
      <c r="J363" s="619" t="s">
        <v>1064</v>
      </c>
      <c r="K363" s="618"/>
      <c r="L363" s="619">
        <v>89</v>
      </c>
      <c r="M363" s="620">
        <v>84</v>
      </c>
      <c r="N363" s="619"/>
      <c r="O363" s="619">
        <v>9</v>
      </c>
      <c r="P363" s="619" t="s">
        <v>760</v>
      </c>
      <c r="Q363" s="662" t="s">
        <v>1002</v>
      </c>
      <c r="R363" s="618"/>
      <c r="S363" s="621" t="s">
        <v>1231</v>
      </c>
      <c r="T363" s="619" t="s">
        <v>1064</v>
      </c>
    </row>
    <row r="364" spans="1:20">
      <c r="A364" s="630">
        <v>2201300</v>
      </c>
      <c r="B364" s="628"/>
      <c r="C364" s="623"/>
      <c r="D364" s="623" t="s">
        <v>775</v>
      </c>
      <c r="E364" s="627" t="s">
        <v>7</v>
      </c>
      <c r="F364" s="631" t="s">
        <v>1275</v>
      </c>
      <c r="G364" s="661">
        <v>220</v>
      </c>
      <c r="H364" s="633">
        <v>1300</v>
      </c>
      <c r="I364" s="618"/>
      <c r="J364" s="619" t="s">
        <v>7</v>
      </c>
      <c r="K364" s="618"/>
      <c r="L364" s="619">
        <v>90</v>
      </c>
      <c r="M364" s="620">
        <v>85</v>
      </c>
      <c r="N364" s="619"/>
      <c r="O364" s="619">
        <v>9</v>
      </c>
      <c r="P364" s="619" t="s">
        <v>760</v>
      </c>
      <c r="Q364" s="662" t="s">
        <v>1002</v>
      </c>
      <c r="R364" s="618"/>
      <c r="S364" s="621" t="s">
        <v>1231</v>
      </c>
      <c r="T364" s="619" t="s">
        <v>7</v>
      </c>
    </row>
    <row r="365" spans="1:20">
      <c r="A365" s="630">
        <v>2251300</v>
      </c>
      <c r="B365" s="628"/>
      <c r="C365" s="623"/>
      <c r="D365" s="623" t="s">
        <v>799</v>
      </c>
      <c r="E365" s="627" t="s">
        <v>23</v>
      </c>
      <c r="F365" s="631" t="s">
        <v>1276</v>
      </c>
      <c r="G365" s="661">
        <v>225</v>
      </c>
      <c r="H365" s="633">
        <v>1300</v>
      </c>
      <c r="I365" s="618"/>
      <c r="J365" s="619" t="s">
        <v>23</v>
      </c>
      <c r="K365" s="618"/>
      <c r="L365" s="619">
        <v>91</v>
      </c>
      <c r="M365" s="620">
        <v>86</v>
      </c>
      <c r="N365" s="619"/>
      <c r="O365" s="619">
        <v>9</v>
      </c>
      <c r="P365" s="619" t="s">
        <v>760</v>
      </c>
      <c r="Q365" s="662" t="s">
        <v>1002</v>
      </c>
      <c r="R365" s="618"/>
      <c r="S365" s="621" t="s">
        <v>1231</v>
      </c>
      <c r="T365" s="619" t="s">
        <v>23</v>
      </c>
    </row>
    <row r="366" spans="1:20">
      <c r="A366" s="622"/>
      <c r="B366" s="628"/>
      <c r="C366" s="623"/>
      <c r="D366" s="623" t="s">
        <v>803</v>
      </c>
      <c r="E366" s="627" t="s">
        <v>1069</v>
      </c>
      <c r="F366" s="626"/>
      <c r="G366" s="623"/>
      <c r="H366" s="627"/>
      <c r="I366" s="618"/>
      <c r="J366" s="618"/>
      <c r="K366" s="618"/>
      <c r="L366" s="618"/>
      <c r="M366" s="618"/>
      <c r="N366" s="618"/>
      <c r="O366" s="618"/>
      <c r="P366" s="618"/>
      <c r="Q366" s="662"/>
      <c r="R366" s="618"/>
      <c r="S366" s="621"/>
      <c r="T366" s="618"/>
    </row>
    <row r="367" spans="1:20">
      <c r="A367" s="630">
        <v>2311300</v>
      </c>
      <c r="B367" s="628"/>
      <c r="C367" s="623"/>
      <c r="D367" s="623"/>
      <c r="E367" s="627" t="s">
        <v>1070</v>
      </c>
      <c r="F367" s="631" t="s">
        <v>1277</v>
      </c>
      <c r="G367" s="661">
        <v>231</v>
      </c>
      <c r="H367" s="633">
        <v>1300</v>
      </c>
      <c r="I367" s="618"/>
      <c r="J367" s="619" t="s">
        <v>1070</v>
      </c>
      <c r="K367" s="618"/>
      <c r="L367" s="619">
        <v>92</v>
      </c>
      <c r="M367" s="620">
        <v>87</v>
      </c>
      <c r="N367" s="619"/>
      <c r="O367" s="619">
        <v>9</v>
      </c>
      <c r="P367" s="619" t="s">
        <v>760</v>
      </c>
      <c r="Q367" s="662" t="s">
        <v>1002</v>
      </c>
      <c r="R367" s="618"/>
      <c r="S367" s="621" t="s">
        <v>1231</v>
      </c>
      <c r="T367" s="619" t="s">
        <v>1072</v>
      </c>
    </row>
    <row r="368" spans="1:20">
      <c r="A368" s="630">
        <v>2331300</v>
      </c>
      <c r="B368" s="628"/>
      <c r="C368" s="623"/>
      <c r="D368" s="623"/>
      <c r="E368" s="627" t="s">
        <v>1073</v>
      </c>
      <c r="F368" s="631" t="s">
        <v>1278</v>
      </c>
      <c r="G368" s="661">
        <v>233</v>
      </c>
      <c r="H368" s="633">
        <v>1300</v>
      </c>
      <c r="I368" s="618"/>
      <c r="J368" s="619" t="s">
        <v>1073</v>
      </c>
      <c r="K368" s="618"/>
      <c r="L368" s="619">
        <v>92</v>
      </c>
      <c r="M368" s="620">
        <v>87</v>
      </c>
      <c r="N368" s="619"/>
      <c r="O368" s="619">
        <v>9</v>
      </c>
      <c r="P368" s="619" t="s">
        <v>760</v>
      </c>
      <c r="Q368" s="662" t="s">
        <v>1002</v>
      </c>
      <c r="R368" s="618"/>
      <c r="S368" s="621" t="s">
        <v>1231</v>
      </c>
      <c r="T368" s="619" t="s">
        <v>1075</v>
      </c>
    </row>
    <row r="369" spans="1:20">
      <c r="A369" s="630">
        <v>2391300</v>
      </c>
      <c r="B369" s="628"/>
      <c r="C369" s="623"/>
      <c r="D369" s="623"/>
      <c r="E369" s="627" t="s">
        <v>1076</v>
      </c>
      <c r="F369" s="631" t="s">
        <v>1279</v>
      </c>
      <c r="G369" s="661">
        <v>239</v>
      </c>
      <c r="H369" s="633">
        <v>1300</v>
      </c>
      <c r="I369" s="618"/>
      <c r="J369" s="619" t="s">
        <v>1076</v>
      </c>
      <c r="K369" s="618"/>
      <c r="L369" s="619">
        <v>92</v>
      </c>
      <c r="M369" s="620">
        <v>87</v>
      </c>
      <c r="N369" s="619"/>
      <c r="O369" s="619">
        <v>9</v>
      </c>
      <c r="P369" s="619" t="s">
        <v>760</v>
      </c>
      <c r="Q369" s="662" t="s">
        <v>1002</v>
      </c>
      <c r="R369" s="618"/>
      <c r="S369" s="621" t="s">
        <v>1231</v>
      </c>
      <c r="T369" s="619" t="s">
        <v>1078</v>
      </c>
    </row>
    <row r="370" spans="1:20">
      <c r="A370" s="630">
        <v>2501300</v>
      </c>
      <c r="B370" s="628"/>
      <c r="C370" s="623"/>
      <c r="D370" s="623" t="s">
        <v>848</v>
      </c>
      <c r="E370" s="627" t="s">
        <v>1079</v>
      </c>
      <c r="F370" s="631" t="s">
        <v>1280</v>
      </c>
      <c r="G370" s="661">
        <v>250</v>
      </c>
      <c r="H370" s="633">
        <v>1300</v>
      </c>
      <c r="I370" s="618"/>
      <c r="J370" s="619" t="s">
        <v>1079</v>
      </c>
      <c r="K370" s="618"/>
      <c r="L370" s="619">
        <v>93</v>
      </c>
      <c r="M370" s="620">
        <v>88</v>
      </c>
      <c r="N370" s="619"/>
      <c r="O370" s="619">
        <v>9</v>
      </c>
      <c r="P370" s="619" t="s">
        <v>760</v>
      </c>
      <c r="Q370" s="662" t="s">
        <v>1002</v>
      </c>
      <c r="R370" s="618"/>
      <c r="S370" s="621" t="s">
        <v>1231</v>
      </c>
      <c r="T370" s="619" t="s">
        <v>1079</v>
      </c>
    </row>
    <row r="371" spans="1:20">
      <c r="A371" s="630">
        <v>2601300</v>
      </c>
      <c r="B371" s="628"/>
      <c r="C371" s="623"/>
      <c r="D371" s="623" t="s">
        <v>851</v>
      </c>
      <c r="E371" s="627" t="s">
        <v>1081</v>
      </c>
      <c r="F371" s="631" t="s">
        <v>1281</v>
      </c>
      <c r="G371" s="661">
        <v>260</v>
      </c>
      <c r="H371" s="633">
        <v>1300</v>
      </c>
      <c r="I371" s="618"/>
      <c r="J371" s="619" t="s">
        <v>1081</v>
      </c>
      <c r="K371" s="618"/>
      <c r="L371" s="619">
        <v>95</v>
      </c>
      <c r="M371" s="620">
        <v>90</v>
      </c>
      <c r="N371" s="619"/>
      <c r="O371" s="619">
        <v>9</v>
      </c>
      <c r="P371" s="619" t="s">
        <v>760</v>
      </c>
      <c r="Q371" s="662" t="s">
        <v>1002</v>
      </c>
      <c r="R371" s="618"/>
      <c r="S371" s="621" t="s">
        <v>1231</v>
      </c>
      <c r="T371" s="619" t="s">
        <v>1081</v>
      </c>
    </row>
    <row r="372" spans="1:20">
      <c r="A372" s="630">
        <v>2701300</v>
      </c>
      <c r="B372" s="628"/>
      <c r="C372" s="623"/>
      <c r="D372" s="623" t="s">
        <v>854</v>
      </c>
      <c r="E372" s="627" t="s">
        <v>1083</v>
      </c>
      <c r="F372" s="631" t="s">
        <v>1282</v>
      </c>
      <c r="G372" s="661">
        <v>270</v>
      </c>
      <c r="H372" s="633">
        <v>1300</v>
      </c>
      <c r="I372" s="618"/>
      <c r="J372" s="619" t="s">
        <v>1083</v>
      </c>
      <c r="K372" s="618"/>
      <c r="L372" s="619">
        <v>94</v>
      </c>
      <c r="M372" s="620">
        <v>89</v>
      </c>
      <c r="N372" s="619"/>
      <c r="O372" s="619">
        <v>9</v>
      </c>
      <c r="P372" s="619" t="s">
        <v>760</v>
      </c>
      <c r="Q372" s="662" t="s">
        <v>1002</v>
      </c>
      <c r="R372" s="618"/>
      <c r="S372" s="621" t="s">
        <v>1231</v>
      </c>
      <c r="T372" s="619" t="s">
        <v>1083</v>
      </c>
    </row>
    <row r="373" spans="1:20">
      <c r="A373" s="630">
        <v>2811300</v>
      </c>
      <c r="B373" s="628"/>
      <c r="C373" s="623"/>
      <c r="D373" s="623" t="s">
        <v>857</v>
      </c>
      <c r="E373" s="627" t="s">
        <v>1085</v>
      </c>
      <c r="F373" s="631" t="s">
        <v>1283</v>
      </c>
      <c r="G373" s="661">
        <v>281</v>
      </c>
      <c r="H373" s="633">
        <v>1300</v>
      </c>
      <c r="I373" s="618"/>
      <c r="J373" s="619" t="s">
        <v>1085</v>
      </c>
      <c r="K373" s="618"/>
      <c r="L373" s="619">
        <v>95</v>
      </c>
      <c r="M373" s="620">
        <v>90</v>
      </c>
      <c r="N373" s="619"/>
      <c r="O373" s="619">
        <v>9</v>
      </c>
      <c r="P373" s="619" t="s">
        <v>760</v>
      </c>
      <c r="Q373" s="662" t="s">
        <v>1002</v>
      </c>
      <c r="R373" s="618"/>
      <c r="S373" s="621" t="s">
        <v>1231</v>
      </c>
      <c r="T373" s="619" t="s">
        <v>1085</v>
      </c>
    </row>
    <row r="374" spans="1:20">
      <c r="A374" s="630">
        <v>2821300</v>
      </c>
      <c r="B374" s="628"/>
      <c r="C374" s="623"/>
      <c r="D374" s="623" t="s">
        <v>860</v>
      </c>
      <c r="E374" s="627" t="s">
        <v>1087</v>
      </c>
      <c r="F374" s="631" t="s">
        <v>1284</v>
      </c>
      <c r="G374" s="661">
        <v>282</v>
      </c>
      <c r="H374" s="633">
        <v>1300</v>
      </c>
      <c r="I374" s="618"/>
      <c r="J374" s="619" t="s">
        <v>1087</v>
      </c>
      <c r="K374" s="618"/>
      <c r="L374" s="619">
        <v>95</v>
      </c>
      <c r="M374" s="620">
        <v>90</v>
      </c>
      <c r="N374" s="619"/>
      <c r="O374" s="619">
        <v>9</v>
      </c>
      <c r="P374" s="619" t="s">
        <v>760</v>
      </c>
      <c r="Q374" s="662" t="s">
        <v>1002</v>
      </c>
      <c r="R374" s="618"/>
      <c r="S374" s="621" t="s">
        <v>1231</v>
      </c>
      <c r="T374" s="619" t="s">
        <v>1087</v>
      </c>
    </row>
    <row r="375" spans="1:20" ht="16" thickBot="1">
      <c r="A375" s="630">
        <v>2901300</v>
      </c>
      <c r="B375" s="667"/>
      <c r="C375" s="623"/>
      <c r="D375" s="623" t="s">
        <v>1089</v>
      </c>
      <c r="E375" s="627" t="s">
        <v>1090</v>
      </c>
      <c r="F375" s="631" t="s">
        <v>1285</v>
      </c>
      <c r="G375" s="661">
        <v>290</v>
      </c>
      <c r="H375" s="633">
        <v>1300</v>
      </c>
      <c r="I375" s="618"/>
      <c r="J375" s="619" t="s">
        <v>1090</v>
      </c>
      <c r="K375" s="618"/>
      <c r="L375" s="619">
        <v>95</v>
      </c>
      <c r="M375" s="620">
        <v>90</v>
      </c>
      <c r="N375" s="619"/>
      <c r="O375" s="619">
        <v>9</v>
      </c>
      <c r="P375" s="619" t="s">
        <v>760</v>
      </c>
      <c r="Q375" s="662" t="s">
        <v>1002</v>
      </c>
      <c r="R375" s="618"/>
      <c r="S375" s="621" t="s">
        <v>1231</v>
      </c>
      <c r="T375" s="619" t="s">
        <v>1090</v>
      </c>
    </row>
    <row r="376" spans="1:20" ht="16.5" thickTop="1" thickBot="1">
      <c r="A376" s="622"/>
      <c r="B376" s="613"/>
      <c r="C376" s="772" t="s">
        <v>1286</v>
      </c>
      <c r="D376" s="773"/>
      <c r="E376" s="782"/>
      <c r="F376" s="656" t="s">
        <v>605</v>
      </c>
      <c r="G376" s="657"/>
      <c r="H376" s="658"/>
      <c r="I376" s="618"/>
      <c r="J376" s="618"/>
      <c r="K376" s="618"/>
      <c r="L376" s="618"/>
      <c r="M376" s="618"/>
      <c r="N376" s="618"/>
      <c r="O376" s="618"/>
      <c r="P376" s="618"/>
      <c r="Q376" s="662"/>
      <c r="R376" s="618"/>
      <c r="S376" s="621"/>
      <c r="T376" s="618"/>
    </row>
    <row r="377" spans="1:20" ht="16" thickTop="1">
      <c r="A377" s="622"/>
      <c r="B377" s="623"/>
      <c r="C377" s="628"/>
      <c r="D377" s="623"/>
      <c r="E377" s="627"/>
      <c r="F377" s="626"/>
      <c r="G377" s="623"/>
      <c r="H377" s="627"/>
      <c r="I377" s="618"/>
      <c r="J377" s="618"/>
      <c r="K377" s="618"/>
      <c r="L377" s="618"/>
      <c r="M377" s="618"/>
      <c r="N377" s="618"/>
      <c r="O377" s="618"/>
      <c r="P377" s="618"/>
      <c r="Q377" s="662"/>
      <c r="R377" s="618"/>
      <c r="S377" s="621"/>
      <c r="T377" s="618"/>
    </row>
    <row r="378" spans="1:20">
      <c r="A378" s="622"/>
      <c r="B378" s="628" t="s">
        <v>1287</v>
      </c>
      <c r="C378" s="770" t="s">
        <v>667</v>
      </c>
      <c r="D378" s="771"/>
      <c r="E378" s="775"/>
      <c r="F378" s="626"/>
      <c r="G378" s="623"/>
      <c r="H378" s="627"/>
      <c r="I378" s="618"/>
      <c r="J378" s="618"/>
      <c r="K378" s="618"/>
      <c r="L378" s="618"/>
      <c r="M378" s="618"/>
      <c r="N378" s="618"/>
      <c r="O378" s="618"/>
      <c r="P378" s="618"/>
      <c r="Q378" s="662"/>
      <c r="R378" s="618"/>
      <c r="S378" s="621"/>
      <c r="T378" s="618"/>
    </row>
    <row r="379" spans="1:20">
      <c r="A379" s="622"/>
      <c r="B379" s="628"/>
      <c r="C379" s="629">
        <v>19</v>
      </c>
      <c r="D379" s="784" t="s">
        <v>1288</v>
      </c>
      <c r="E379" s="775"/>
      <c r="F379" s="626"/>
      <c r="G379" s="623"/>
      <c r="H379" s="627"/>
      <c r="I379" s="618"/>
      <c r="J379" s="618"/>
      <c r="K379" s="618"/>
      <c r="L379" s="618"/>
      <c r="M379" s="618"/>
      <c r="N379" s="618"/>
      <c r="O379" s="618"/>
      <c r="P379" s="618"/>
      <c r="Q379" s="662"/>
      <c r="R379" s="618"/>
      <c r="S379" s="621"/>
      <c r="T379" s="618"/>
    </row>
    <row r="380" spans="1:20">
      <c r="A380" s="622"/>
      <c r="B380" s="628"/>
      <c r="C380" s="623"/>
      <c r="D380" s="623" t="s">
        <v>756</v>
      </c>
      <c r="E380" s="627" t="s">
        <v>244</v>
      </c>
      <c r="F380" s="626"/>
      <c r="G380" s="623"/>
      <c r="H380" s="627"/>
      <c r="I380" s="618"/>
      <c r="J380" s="618"/>
      <c r="K380" s="618"/>
      <c r="L380" s="618"/>
      <c r="M380" s="618"/>
      <c r="N380" s="618"/>
      <c r="O380" s="618"/>
      <c r="P380" s="618"/>
      <c r="Q380" s="662"/>
      <c r="R380" s="618"/>
      <c r="S380" s="621"/>
      <c r="T380" s="618"/>
    </row>
    <row r="381" spans="1:20">
      <c r="A381" s="630">
        <v>1121410</v>
      </c>
      <c r="B381" s="628"/>
      <c r="C381" s="623"/>
      <c r="D381" s="623"/>
      <c r="E381" s="627" t="s">
        <v>1289</v>
      </c>
      <c r="F381" s="631" t="s">
        <v>1290</v>
      </c>
      <c r="G381" s="661">
        <v>112</v>
      </c>
      <c r="H381" s="633">
        <v>1410</v>
      </c>
      <c r="I381" s="618"/>
      <c r="J381" s="619" t="s">
        <v>1289</v>
      </c>
      <c r="K381" s="618"/>
      <c r="L381" s="619">
        <v>82</v>
      </c>
      <c r="M381" s="620">
        <v>77</v>
      </c>
      <c r="N381" s="619"/>
      <c r="O381" s="619">
        <v>10</v>
      </c>
      <c r="P381" s="619" t="s">
        <v>760</v>
      </c>
      <c r="Q381" s="662" t="s">
        <v>1002</v>
      </c>
      <c r="R381" s="618"/>
      <c r="S381" s="621" t="s">
        <v>1291</v>
      </c>
      <c r="T381" s="619" t="s">
        <v>1292</v>
      </c>
    </row>
    <row r="382" spans="1:20">
      <c r="A382" s="630">
        <v>1151410</v>
      </c>
      <c r="B382" s="628"/>
      <c r="C382" s="623"/>
      <c r="D382" s="623"/>
      <c r="E382" s="627" t="s">
        <v>1099</v>
      </c>
      <c r="F382" s="631" t="s">
        <v>1293</v>
      </c>
      <c r="G382" s="661">
        <v>115</v>
      </c>
      <c r="H382" s="633">
        <v>1410</v>
      </c>
      <c r="I382" s="618"/>
      <c r="J382" s="619" t="s">
        <v>1099</v>
      </c>
      <c r="K382" s="618"/>
      <c r="L382" s="619">
        <v>86</v>
      </c>
      <c r="M382" s="620">
        <v>81</v>
      </c>
      <c r="N382" s="619"/>
      <c r="O382" s="619">
        <v>10</v>
      </c>
      <c r="P382" s="619" t="s">
        <v>760</v>
      </c>
      <c r="Q382" s="662" t="s">
        <v>1002</v>
      </c>
      <c r="R382" s="618"/>
      <c r="S382" s="621" t="s">
        <v>1291</v>
      </c>
      <c r="T382" s="619" t="s">
        <v>1101</v>
      </c>
    </row>
    <row r="383" spans="1:20">
      <c r="A383" s="630">
        <v>1231410</v>
      </c>
      <c r="B383" s="628"/>
      <c r="C383" s="623"/>
      <c r="D383" s="623"/>
      <c r="E383" s="627" t="s">
        <v>1102</v>
      </c>
      <c r="F383" s="631" t="s">
        <v>1294</v>
      </c>
      <c r="G383" s="661">
        <v>123</v>
      </c>
      <c r="H383" s="633">
        <v>1410</v>
      </c>
      <c r="I383" s="618"/>
      <c r="J383" s="619" t="s">
        <v>1102</v>
      </c>
      <c r="K383" s="618"/>
      <c r="L383" s="619">
        <v>86</v>
      </c>
      <c r="M383" s="620">
        <v>81</v>
      </c>
      <c r="N383" s="619"/>
      <c r="O383" s="619">
        <v>10</v>
      </c>
      <c r="P383" s="619" t="s">
        <v>760</v>
      </c>
      <c r="Q383" s="662" t="s">
        <v>1002</v>
      </c>
      <c r="R383" s="618"/>
      <c r="S383" s="621" t="s">
        <v>1291</v>
      </c>
      <c r="T383" s="619" t="s">
        <v>1104</v>
      </c>
    </row>
    <row r="384" spans="1:20">
      <c r="A384" s="630">
        <v>1201410</v>
      </c>
      <c r="B384" s="628"/>
      <c r="C384" s="623"/>
      <c r="D384" s="623"/>
      <c r="E384" s="627" t="s">
        <v>1105</v>
      </c>
      <c r="F384" s="631" t="s">
        <v>1295</v>
      </c>
      <c r="G384" s="661">
        <v>120</v>
      </c>
      <c r="H384" s="633">
        <v>1410</v>
      </c>
      <c r="I384" s="618"/>
      <c r="J384" s="619" t="s">
        <v>1105</v>
      </c>
      <c r="K384" s="618"/>
      <c r="L384" s="619">
        <v>86</v>
      </c>
      <c r="M384" s="620">
        <v>81</v>
      </c>
      <c r="N384" s="619"/>
      <c r="O384" s="619">
        <v>10</v>
      </c>
      <c r="P384" s="619" t="s">
        <v>760</v>
      </c>
      <c r="Q384" s="662" t="s">
        <v>1002</v>
      </c>
      <c r="R384" s="618"/>
      <c r="S384" s="621" t="s">
        <v>1291</v>
      </c>
      <c r="T384" s="619" t="s">
        <v>1107</v>
      </c>
    </row>
    <row r="385" spans="1:20">
      <c r="A385" s="630">
        <v>1001410</v>
      </c>
      <c r="B385" s="628"/>
      <c r="C385" s="623"/>
      <c r="D385" s="623"/>
      <c r="E385" s="627" t="s">
        <v>1108</v>
      </c>
      <c r="F385" s="631" t="s">
        <v>1296</v>
      </c>
      <c r="G385" s="661">
        <v>100</v>
      </c>
      <c r="H385" s="633">
        <v>1410</v>
      </c>
      <c r="I385" s="618"/>
      <c r="J385" s="619" t="s">
        <v>1108</v>
      </c>
      <c r="K385" s="618"/>
      <c r="L385" s="619">
        <v>86</v>
      </c>
      <c r="M385" s="620">
        <v>81</v>
      </c>
      <c r="N385" s="619"/>
      <c r="O385" s="619">
        <v>10</v>
      </c>
      <c r="P385" s="619" t="s">
        <v>760</v>
      </c>
      <c r="Q385" s="662" t="s">
        <v>1002</v>
      </c>
      <c r="R385" s="618"/>
      <c r="S385" s="621" t="s">
        <v>1291</v>
      </c>
      <c r="T385" s="619" t="s">
        <v>1015</v>
      </c>
    </row>
    <row r="386" spans="1:20">
      <c r="A386" s="630">
        <v>1401410</v>
      </c>
      <c r="B386" s="628"/>
      <c r="C386" s="623"/>
      <c r="D386" s="623"/>
      <c r="E386" s="627" t="s">
        <v>1110</v>
      </c>
      <c r="F386" s="631" t="s">
        <v>1297</v>
      </c>
      <c r="G386" s="661">
        <v>140</v>
      </c>
      <c r="H386" s="633">
        <v>1410</v>
      </c>
      <c r="I386" s="618"/>
      <c r="J386" s="619" t="s">
        <v>1110</v>
      </c>
      <c r="K386" s="618"/>
      <c r="L386" s="619">
        <v>86</v>
      </c>
      <c r="M386" s="620">
        <v>81</v>
      </c>
      <c r="N386" s="619"/>
      <c r="O386" s="619">
        <v>10</v>
      </c>
      <c r="P386" s="619" t="s">
        <v>760</v>
      </c>
      <c r="Q386" s="662" t="s">
        <v>1002</v>
      </c>
      <c r="R386" s="618"/>
      <c r="S386" s="621" t="s">
        <v>1291</v>
      </c>
      <c r="T386" s="619" t="s">
        <v>1017</v>
      </c>
    </row>
    <row r="387" spans="1:20">
      <c r="A387" s="630">
        <v>3001410</v>
      </c>
      <c r="B387" s="628"/>
      <c r="C387" s="623"/>
      <c r="D387" s="623" t="s">
        <v>775</v>
      </c>
      <c r="E387" s="627" t="s">
        <v>1112</v>
      </c>
      <c r="F387" s="631" t="s">
        <v>1298</v>
      </c>
      <c r="G387" s="661">
        <v>300</v>
      </c>
      <c r="H387" s="633">
        <v>1410</v>
      </c>
      <c r="I387" s="618"/>
      <c r="J387" s="619" t="s">
        <v>1112</v>
      </c>
      <c r="K387" s="618"/>
      <c r="L387" s="619">
        <v>101</v>
      </c>
      <c r="M387" s="620">
        <v>96</v>
      </c>
      <c r="N387" s="619"/>
      <c r="O387" s="619">
        <v>10</v>
      </c>
      <c r="P387" s="619" t="s">
        <v>760</v>
      </c>
      <c r="Q387" s="662"/>
      <c r="R387" s="618"/>
      <c r="S387" s="621" t="s">
        <v>1291</v>
      </c>
      <c r="T387" s="619" t="s">
        <v>1112</v>
      </c>
    </row>
    <row r="388" spans="1:20">
      <c r="A388" s="622"/>
      <c r="B388" s="628"/>
      <c r="C388" s="623"/>
      <c r="D388" s="623" t="s">
        <v>799</v>
      </c>
      <c r="E388" s="627" t="s">
        <v>250</v>
      </c>
      <c r="F388" s="626"/>
      <c r="G388" s="623"/>
      <c r="H388" s="627"/>
      <c r="I388" s="618"/>
      <c r="J388" s="618"/>
      <c r="K388" s="618"/>
      <c r="L388" s="618"/>
      <c r="M388" s="618"/>
      <c r="N388" s="618"/>
      <c r="O388" s="618"/>
      <c r="P388" s="618"/>
      <c r="Q388" s="662"/>
      <c r="R388" s="618"/>
      <c r="S388" s="621"/>
      <c r="T388" s="618"/>
    </row>
    <row r="389" spans="1:20">
      <c r="A389" s="630">
        <v>4301410</v>
      </c>
      <c r="B389" s="628"/>
      <c r="C389" s="623"/>
      <c r="D389" s="623"/>
      <c r="E389" s="627" t="s">
        <v>1114</v>
      </c>
      <c r="F389" s="631" t="s">
        <v>1299</v>
      </c>
      <c r="G389" s="661">
        <v>430</v>
      </c>
      <c r="H389" s="633">
        <v>1410</v>
      </c>
      <c r="I389" s="618"/>
      <c r="J389" s="619" t="s">
        <v>1114</v>
      </c>
      <c r="K389" s="618"/>
      <c r="L389" s="619">
        <v>107</v>
      </c>
      <c r="M389" s="620">
        <v>102</v>
      </c>
      <c r="N389" s="619"/>
      <c r="O389" s="619">
        <v>10</v>
      </c>
      <c r="P389" s="619" t="s">
        <v>760</v>
      </c>
      <c r="Q389" s="662"/>
      <c r="R389" s="618"/>
      <c r="S389" s="621" t="s">
        <v>1291</v>
      </c>
      <c r="T389" s="619" t="s">
        <v>1021</v>
      </c>
    </row>
    <row r="390" spans="1:20">
      <c r="A390" s="630">
        <v>4421410</v>
      </c>
      <c r="B390" s="628"/>
      <c r="C390" s="623"/>
      <c r="D390" s="623"/>
      <c r="E390" s="627" t="s">
        <v>1116</v>
      </c>
      <c r="F390" s="631" t="s">
        <v>1300</v>
      </c>
      <c r="G390" s="661">
        <v>442</v>
      </c>
      <c r="H390" s="633">
        <v>1410</v>
      </c>
      <c r="I390" s="618"/>
      <c r="J390" s="619" t="s">
        <v>1116</v>
      </c>
      <c r="K390" s="618"/>
      <c r="L390" s="619">
        <v>106</v>
      </c>
      <c r="M390" s="620">
        <v>101</v>
      </c>
      <c r="N390" s="619"/>
      <c r="O390" s="619">
        <v>10</v>
      </c>
      <c r="P390" s="619" t="s">
        <v>760</v>
      </c>
      <c r="Q390" s="662"/>
      <c r="R390" s="618"/>
      <c r="S390" s="621" t="s">
        <v>1291</v>
      </c>
      <c r="T390" s="619" t="s">
        <v>1023</v>
      </c>
    </row>
    <row r="391" spans="1:20">
      <c r="A391" s="630">
        <v>4001410</v>
      </c>
      <c r="B391" s="628"/>
      <c r="C391" s="623"/>
      <c r="D391" s="623"/>
      <c r="E391" s="627" t="s">
        <v>1118</v>
      </c>
      <c r="F391" s="631" t="s">
        <v>1301</v>
      </c>
      <c r="G391" s="661">
        <v>400</v>
      </c>
      <c r="H391" s="633">
        <v>1410</v>
      </c>
      <c r="I391" s="618"/>
      <c r="J391" s="619" t="s">
        <v>1118</v>
      </c>
      <c r="K391" s="618"/>
      <c r="L391" s="619">
        <v>108</v>
      </c>
      <c r="M391" s="620">
        <v>103</v>
      </c>
      <c r="N391" s="619"/>
      <c r="O391" s="619">
        <v>10</v>
      </c>
      <c r="P391" s="619" t="s">
        <v>760</v>
      </c>
      <c r="Q391" s="662"/>
      <c r="R391" s="618"/>
      <c r="S391" s="621" t="s">
        <v>1291</v>
      </c>
      <c r="T391" s="619" t="s">
        <v>1025</v>
      </c>
    </row>
    <row r="392" spans="1:20">
      <c r="A392" s="622"/>
      <c r="B392" s="628"/>
      <c r="C392" s="623"/>
      <c r="D392" s="623" t="s">
        <v>803</v>
      </c>
      <c r="E392" s="627" t="s">
        <v>252</v>
      </c>
      <c r="F392" s="626"/>
      <c r="G392" s="623"/>
      <c r="H392" s="627"/>
      <c r="I392" s="618"/>
      <c r="J392" s="618"/>
      <c r="K392" s="618"/>
      <c r="L392" s="618"/>
      <c r="M392" s="618"/>
      <c r="N392" s="618"/>
      <c r="O392" s="618"/>
      <c r="P392" s="618"/>
      <c r="Q392" s="662"/>
      <c r="R392" s="618"/>
      <c r="S392" s="621"/>
      <c r="T392" s="618"/>
    </row>
    <row r="393" spans="1:20">
      <c r="A393" s="622"/>
      <c r="B393" s="628"/>
      <c r="C393" s="623"/>
      <c r="D393" s="623"/>
      <c r="E393" s="627" t="s">
        <v>1120</v>
      </c>
      <c r="F393" s="626"/>
      <c r="G393" s="623"/>
      <c r="H393" s="627"/>
      <c r="I393" s="618"/>
      <c r="J393" s="618"/>
      <c r="K393" s="618"/>
      <c r="L393" s="618"/>
      <c r="M393" s="618"/>
      <c r="N393" s="618"/>
      <c r="O393" s="618"/>
      <c r="P393" s="618"/>
      <c r="Q393" s="662"/>
      <c r="R393" s="618"/>
      <c r="S393" s="621"/>
      <c r="T393" s="618"/>
    </row>
    <row r="394" spans="1:20">
      <c r="A394" s="630">
        <v>5611410</v>
      </c>
      <c r="B394" s="628"/>
      <c r="C394" s="623"/>
      <c r="D394" s="623"/>
      <c r="E394" s="627" t="s">
        <v>1121</v>
      </c>
      <c r="F394" s="631" t="s">
        <v>1302</v>
      </c>
      <c r="G394" s="661">
        <v>561</v>
      </c>
      <c r="H394" s="633">
        <v>1410</v>
      </c>
      <c r="I394" s="618"/>
      <c r="J394" s="619" t="s">
        <v>1121</v>
      </c>
      <c r="K394" s="618"/>
      <c r="L394" s="619">
        <v>119</v>
      </c>
      <c r="M394" s="620">
        <v>110</v>
      </c>
      <c r="N394" s="619"/>
      <c r="O394" s="619">
        <v>10</v>
      </c>
      <c r="P394" s="619" t="s">
        <v>760</v>
      </c>
      <c r="Q394" s="662"/>
      <c r="R394" s="618"/>
      <c r="S394" s="621" t="s">
        <v>1291</v>
      </c>
      <c r="T394" s="619" t="s">
        <v>1030</v>
      </c>
    </row>
    <row r="395" spans="1:20">
      <c r="A395" s="630">
        <v>5621410</v>
      </c>
      <c r="B395" s="628"/>
      <c r="C395" s="623"/>
      <c r="D395" s="623"/>
      <c r="E395" s="627" t="s">
        <v>1123</v>
      </c>
      <c r="F395" s="631" t="s">
        <v>1303</v>
      </c>
      <c r="G395" s="661">
        <v>562</v>
      </c>
      <c r="H395" s="633">
        <v>1410</v>
      </c>
      <c r="I395" s="618"/>
      <c r="J395" s="619" t="s">
        <v>1123</v>
      </c>
      <c r="K395" s="618"/>
      <c r="L395" s="619">
        <v>119</v>
      </c>
      <c r="M395" s="620">
        <v>110</v>
      </c>
      <c r="N395" s="619"/>
      <c r="O395" s="619">
        <v>10</v>
      </c>
      <c r="P395" s="619" t="s">
        <v>760</v>
      </c>
      <c r="Q395" s="662"/>
      <c r="R395" s="618"/>
      <c r="S395" s="621" t="s">
        <v>1291</v>
      </c>
      <c r="T395" s="619" t="s">
        <v>1033</v>
      </c>
    </row>
    <row r="396" spans="1:20">
      <c r="A396" s="630">
        <v>5631410</v>
      </c>
      <c r="B396" s="628"/>
      <c r="C396" s="623"/>
      <c r="D396" s="623"/>
      <c r="E396" s="627" t="s">
        <v>1304</v>
      </c>
      <c r="F396" s="631" t="s">
        <v>1305</v>
      </c>
      <c r="G396" s="661">
        <v>563</v>
      </c>
      <c r="H396" s="633">
        <v>1410</v>
      </c>
      <c r="I396" s="618"/>
      <c r="J396" s="619" t="s">
        <v>1304</v>
      </c>
      <c r="K396" s="618"/>
      <c r="L396" s="619">
        <v>119</v>
      </c>
      <c r="M396" s="620">
        <v>110</v>
      </c>
      <c r="N396" s="619"/>
      <c r="O396" s="619">
        <v>10</v>
      </c>
      <c r="P396" s="619" t="s">
        <v>760</v>
      </c>
      <c r="Q396" s="662"/>
      <c r="R396" s="618"/>
      <c r="S396" s="621" t="s">
        <v>1291</v>
      </c>
      <c r="T396" s="619" t="s">
        <v>1036</v>
      </c>
    </row>
    <row r="397" spans="1:20">
      <c r="A397" s="630">
        <v>5821410</v>
      </c>
      <c r="B397" s="628"/>
      <c r="C397" s="623"/>
      <c r="D397" s="623"/>
      <c r="E397" s="627" t="s">
        <v>1134</v>
      </c>
      <c r="F397" s="631" t="s">
        <v>1306</v>
      </c>
      <c r="G397" s="661">
        <v>582</v>
      </c>
      <c r="H397" s="633">
        <v>1410</v>
      </c>
      <c r="I397" s="618"/>
      <c r="J397" s="619" t="s">
        <v>1134</v>
      </c>
      <c r="K397" s="618"/>
      <c r="L397" s="619">
        <v>118</v>
      </c>
      <c r="M397" s="620">
        <v>109</v>
      </c>
      <c r="N397" s="619"/>
      <c r="O397" s="619">
        <v>10</v>
      </c>
      <c r="P397" s="619" t="s">
        <v>760</v>
      </c>
      <c r="Q397" s="662"/>
      <c r="R397" s="618"/>
      <c r="S397" s="621" t="s">
        <v>1291</v>
      </c>
      <c r="T397" s="619" t="s">
        <v>1037</v>
      </c>
    </row>
    <row r="398" spans="1:20">
      <c r="A398" s="630">
        <v>5001410</v>
      </c>
      <c r="B398" s="628"/>
      <c r="C398" s="623"/>
      <c r="D398" s="623"/>
      <c r="E398" s="627" t="s">
        <v>1136</v>
      </c>
      <c r="F398" s="631" t="s">
        <v>1307</v>
      </c>
      <c r="G398" s="661">
        <v>500</v>
      </c>
      <c r="H398" s="633">
        <v>1410</v>
      </c>
      <c r="I398" s="618"/>
      <c r="J398" s="619" t="s">
        <v>1136</v>
      </c>
      <c r="K398" s="618"/>
      <c r="L398" s="619">
        <v>119</v>
      </c>
      <c r="M398" s="620">
        <v>110</v>
      </c>
      <c r="N398" s="619"/>
      <c r="O398" s="619">
        <v>10</v>
      </c>
      <c r="P398" s="619" t="s">
        <v>760</v>
      </c>
      <c r="Q398" s="662"/>
      <c r="R398" s="618"/>
      <c r="S398" s="621" t="s">
        <v>1291</v>
      </c>
      <c r="T398" s="619" t="s">
        <v>252</v>
      </c>
    </row>
    <row r="399" spans="1:20">
      <c r="A399" s="622"/>
      <c r="B399" s="628"/>
      <c r="C399" s="623"/>
      <c r="D399" s="623" t="s">
        <v>848</v>
      </c>
      <c r="E399" s="627" t="s">
        <v>1040</v>
      </c>
      <c r="F399" s="626"/>
      <c r="G399" s="623"/>
      <c r="H399" s="627"/>
      <c r="I399" s="618"/>
      <c r="J399" s="618"/>
      <c r="K399" s="618"/>
      <c r="L399" s="618"/>
      <c r="M399" s="618"/>
      <c r="N399" s="618"/>
      <c r="O399" s="618"/>
      <c r="P399" s="618"/>
      <c r="Q399" s="662"/>
      <c r="R399" s="618"/>
      <c r="S399" s="621"/>
      <c r="T399" s="618"/>
    </row>
    <row r="400" spans="1:20">
      <c r="A400" s="630">
        <v>6151410</v>
      </c>
      <c r="B400" s="628"/>
      <c r="C400" s="623"/>
      <c r="D400" s="623"/>
      <c r="E400" s="627" t="s">
        <v>1138</v>
      </c>
      <c r="F400" s="631" t="s">
        <v>1308</v>
      </c>
      <c r="G400" s="661">
        <v>615</v>
      </c>
      <c r="H400" s="633">
        <v>1410</v>
      </c>
      <c r="I400" s="618"/>
      <c r="J400" s="619" t="s">
        <v>1138</v>
      </c>
      <c r="K400" s="618"/>
      <c r="L400" s="619">
        <v>126</v>
      </c>
      <c r="M400" s="620">
        <v>117</v>
      </c>
      <c r="N400" s="619"/>
      <c r="O400" s="619">
        <v>10</v>
      </c>
      <c r="P400" s="619" t="s">
        <v>760</v>
      </c>
      <c r="Q400" s="662" t="s">
        <v>1043</v>
      </c>
      <c r="R400" s="618"/>
      <c r="S400" s="621" t="s">
        <v>1291</v>
      </c>
      <c r="T400" s="619" t="s">
        <v>1041</v>
      </c>
    </row>
    <row r="401" spans="1:20">
      <c r="A401" s="630">
        <v>6101410</v>
      </c>
      <c r="B401" s="628"/>
      <c r="C401" s="623"/>
      <c r="D401" s="623"/>
      <c r="E401" s="627" t="s">
        <v>1140</v>
      </c>
      <c r="F401" s="631" t="s">
        <v>1309</v>
      </c>
      <c r="G401" s="661">
        <v>610</v>
      </c>
      <c r="H401" s="633">
        <v>1410</v>
      </c>
      <c r="I401" s="618"/>
      <c r="J401" s="619" t="s">
        <v>1140</v>
      </c>
      <c r="K401" s="618"/>
      <c r="L401" s="619">
        <v>122</v>
      </c>
      <c r="M401" s="620">
        <v>113</v>
      </c>
      <c r="N401" s="619"/>
      <c r="O401" s="619">
        <v>10</v>
      </c>
      <c r="P401" s="619" t="s">
        <v>760</v>
      </c>
      <c r="Q401" s="662" t="s">
        <v>1043</v>
      </c>
      <c r="R401" s="618"/>
      <c r="S401" s="621" t="s">
        <v>1291</v>
      </c>
      <c r="T401" s="619" t="s">
        <v>39</v>
      </c>
    </row>
    <row r="402" spans="1:20">
      <c r="A402" s="630">
        <v>6421410</v>
      </c>
      <c r="B402" s="628"/>
      <c r="C402" s="623"/>
      <c r="D402" s="623"/>
      <c r="E402" s="627" t="s">
        <v>1142</v>
      </c>
      <c r="F402" s="631" t="s">
        <v>1310</v>
      </c>
      <c r="G402" s="661">
        <v>642</v>
      </c>
      <c r="H402" s="633">
        <v>1410</v>
      </c>
      <c r="I402" s="618"/>
      <c r="J402" s="619" t="s">
        <v>1142</v>
      </c>
      <c r="K402" s="618"/>
      <c r="L402" s="619">
        <v>125</v>
      </c>
      <c r="M402" s="620">
        <v>116</v>
      </c>
      <c r="N402" s="619"/>
      <c r="O402" s="619">
        <v>10</v>
      </c>
      <c r="P402" s="619" t="s">
        <v>760</v>
      </c>
      <c r="Q402" s="662" t="s">
        <v>1043</v>
      </c>
      <c r="R402" s="618"/>
      <c r="S402" s="621" t="s">
        <v>1291</v>
      </c>
      <c r="T402" s="619" t="s">
        <v>1046</v>
      </c>
    </row>
    <row r="403" spans="1:20">
      <c r="A403" s="630">
        <v>6001410</v>
      </c>
      <c r="B403" s="628"/>
      <c r="C403" s="623"/>
      <c r="D403" s="623"/>
      <c r="E403" s="627" t="s">
        <v>1144</v>
      </c>
      <c r="F403" s="631" t="s">
        <v>1311</v>
      </c>
      <c r="G403" s="661">
        <v>600</v>
      </c>
      <c r="H403" s="633">
        <v>1410</v>
      </c>
      <c r="I403" s="618"/>
      <c r="J403" s="619" t="s">
        <v>1144</v>
      </c>
      <c r="K403" s="618"/>
      <c r="L403" s="619">
        <v>126</v>
      </c>
      <c r="M403" s="620">
        <v>117</v>
      </c>
      <c r="N403" s="619"/>
      <c r="O403" s="619">
        <v>10</v>
      </c>
      <c r="P403" s="619" t="s">
        <v>760</v>
      </c>
      <c r="Q403" s="662"/>
      <c r="R403" s="618"/>
      <c r="S403" s="621" t="s">
        <v>1291</v>
      </c>
      <c r="T403" s="619" t="s">
        <v>1048</v>
      </c>
    </row>
    <row r="404" spans="1:20">
      <c r="A404" s="622"/>
      <c r="B404" s="628"/>
      <c r="C404" s="623"/>
      <c r="D404" s="623" t="s">
        <v>851</v>
      </c>
      <c r="E404" s="627" t="s">
        <v>1050</v>
      </c>
      <c r="F404" s="626"/>
      <c r="G404" s="623"/>
      <c r="H404" s="627"/>
      <c r="I404" s="618"/>
      <c r="J404" s="618"/>
      <c r="K404" s="618"/>
      <c r="L404" s="618"/>
      <c r="M404" s="618"/>
      <c r="N404" s="618"/>
      <c r="O404" s="618"/>
      <c r="P404" s="618"/>
      <c r="Q404" s="662"/>
      <c r="R404" s="618"/>
      <c r="S404" s="621"/>
      <c r="T404" s="618"/>
    </row>
    <row r="405" spans="1:20">
      <c r="A405" s="630">
        <v>7341410</v>
      </c>
      <c r="B405" s="628"/>
      <c r="C405" s="623"/>
      <c r="D405" s="623"/>
      <c r="E405" s="627" t="s">
        <v>1146</v>
      </c>
      <c r="F405" s="631" t="s">
        <v>1312</v>
      </c>
      <c r="G405" s="661">
        <v>734</v>
      </c>
      <c r="H405" s="633">
        <v>1410</v>
      </c>
      <c r="I405" s="618"/>
      <c r="J405" s="619" t="s">
        <v>1146</v>
      </c>
      <c r="K405" s="618"/>
      <c r="L405" s="619">
        <v>131</v>
      </c>
      <c r="M405" s="620">
        <v>122</v>
      </c>
      <c r="N405" s="619"/>
      <c r="O405" s="619">
        <v>10</v>
      </c>
      <c r="P405" s="619" t="s">
        <v>760</v>
      </c>
      <c r="Q405" s="662"/>
      <c r="R405" s="618"/>
      <c r="S405" s="621" t="s">
        <v>1291</v>
      </c>
      <c r="T405" s="619" t="s">
        <v>1051</v>
      </c>
    </row>
    <row r="406" spans="1:20">
      <c r="A406" s="630">
        <v>7351410</v>
      </c>
      <c r="B406" s="628"/>
      <c r="C406" s="623"/>
      <c r="D406" s="623"/>
      <c r="E406" s="627" t="s">
        <v>1148</v>
      </c>
      <c r="F406" s="631" t="s">
        <v>1313</v>
      </c>
      <c r="G406" s="661">
        <v>735</v>
      </c>
      <c r="H406" s="633">
        <v>1410</v>
      </c>
      <c r="I406" s="618"/>
      <c r="J406" s="619" t="s">
        <v>1148</v>
      </c>
      <c r="K406" s="618"/>
      <c r="L406" s="619">
        <v>131</v>
      </c>
      <c r="M406" s="620">
        <v>122</v>
      </c>
      <c r="N406" s="619"/>
      <c r="O406" s="619">
        <v>10</v>
      </c>
      <c r="P406" s="619" t="s">
        <v>760</v>
      </c>
      <c r="Q406" s="662"/>
      <c r="R406" s="618"/>
      <c r="S406" s="621" t="s">
        <v>1291</v>
      </c>
      <c r="T406" s="619" t="s">
        <v>1053</v>
      </c>
    </row>
    <row r="407" spans="1:20">
      <c r="A407" s="630">
        <v>7301410</v>
      </c>
      <c r="B407" s="628"/>
      <c r="C407" s="623"/>
      <c r="D407" s="623"/>
      <c r="E407" s="627" t="s">
        <v>1150</v>
      </c>
      <c r="F407" s="631" t="s">
        <v>1314</v>
      </c>
      <c r="G407" s="661">
        <v>730</v>
      </c>
      <c r="H407" s="633">
        <v>1410</v>
      </c>
      <c r="I407" s="618"/>
      <c r="J407" s="619" t="s">
        <v>1150</v>
      </c>
      <c r="K407" s="618"/>
      <c r="L407" s="619">
        <v>131</v>
      </c>
      <c r="M407" s="620">
        <v>122</v>
      </c>
      <c r="N407" s="619"/>
      <c r="O407" s="619">
        <v>10</v>
      </c>
      <c r="P407" s="619" t="s">
        <v>760</v>
      </c>
      <c r="Q407" s="662"/>
      <c r="R407" s="618"/>
      <c r="S407" s="621" t="s">
        <v>1291</v>
      </c>
      <c r="T407" s="619" t="s">
        <v>1055</v>
      </c>
    </row>
    <row r="408" spans="1:20">
      <c r="A408" s="630">
        <v>7001410</v>
      </c>
      <c r="B408" s="628"/>
      <c r="C408" s="623"/>
      <c r="D408" s="623"/>
      <c r="E408" s="627" t="s">
        <v>1152</v>
      </c>
      <c r="F408" s="631" t="s">
        <v>1315</v>
      </c>
      <c r="G408" s="661">
        <v>700</v>
      </c>
      <c r="H408" s="633">
        <v>1410</v>
      </c>
      <c r="I408" s="618"/>
      <c r="J408" s="619" t="s">
        <v>1152</v>
      </c>
      <c r="K408" s="618"/>
      <c r="L408" s="619">
        <v>132</v>
      </c>
      <c r="M408" s="620">
        <v>123</v>
      </c>
      <c r="N408" s="619"/>
      <c r="O408" s="619">
        <v>10</v>
      </c>
      <c r="P408" s="619" t="s">
        <v>760</v>
      </c>
      <c r="Q408" s="662"/>
      <c r="R408" s="618"/>
      <c r="S408" s="621" t="s">
        <v>1291</v>
      </c>
      <c r="T408" s="619" t="s">
        <v>1057</v>
      </c>
    </row>
    <row r="409" spans="1:20">
      <c r="A409" s="622"/>
      <c r="B409" s="628"/>
      <c r="C409" s="623"/>
      <c r="D409" s="623" t="s">
        <v>854</v>
      </c>
      <c r="E409" s="627" t="s">
        <v>256</v>
      </c>
      <c r="F409" s="626"/>
      <c r="G409" s="623"/>
      <c r="H409" s="627"/>
      <c r="I409" s="618"/>
      <c r="J409" s="618"/>
      <c r="K409" s="618"/>
      <c r="L409" s="618"/>
      <c r="M409" s="618"/>
      <c r="N409" s="618"/>
      <c r="O409" s="618"/>
      <c r="P409" s="618"/>
      <c r="Q409" s="662"/>
      <c r="R409" s="618"/>
      <c r="S409" s="621"/>
      <c r="T409" s="618"/>
    </row>
    <row r="410" spans="1:20">
      <c r="A410" s="630">
        <v>8951410</v>
      </c>
      <c r="B410" s="628"/>
      <c r="C410" s="623"/>
      <c r="D410" s="623"/>
      <c r="E410" s="627" t="s">
        <v>1154</v>
      </c>
      <c r="F410" s="631" t="s">
        <v>1316</v>
      </c>
      <c r="G410" s="661">
        <v>895</v>
      </c>
      <c r="H410" s="633">
        <v>1410</v>
      </c>
      <c r="I410" s="618"/>
      <c r="J410" s="619" t="s">
        <v>1154</v>
      </c>
      <c r="K410" s="618"/>
      <c r="L410" s="619">
        <v>139</v>
      </c>
      <c r="M410" s="620">
        <v>129</v>
      </c>
      <c r="N410" s="619"/>
      <c r="O410" s="619">
        <v>10</v>
      </c>
      <c r="P410" s="619" t="s">
        <v>760</v>
      </c>
      <c r="Q410" s="662"/>
      <c r="R410" s="618"/>
      <c r="S410" s="621" t="s">
        <v>1291</v>
      </c>
      <c r="T410" s="619" t="s">
        <v>1059</v>
      </c>
    </row>
    <row r="411" spans="1:20">
      <c r="A411" s="630">
        <v>8001410</v>
      </c>
      <c r="B411" s="628"/>
      <c r="C411" s="623"/>
      <c r="D411" s="623"/>
      <c r="E411" s="627" t="s">
        <v>1156</v>
      </c>
      <c r="F411" s="631" t="s">
        <v>1317</v>
      </c>
      <c r="G411" s="661">
        <v>800</v>
      </c>
      <c r="H411" s="633">
        <v>1410</v>
      </c>
      <c r="I411" s="618"/>
      <c r="J411" s="619" t="s">
        <v>1156</v>
      </c>
      <c r="K411" s="618"/>
      <c r="L411" s="619">
        <v>139</v>
      </c>
      <c r="M411" s="620">
        <v>129</v>
      </c>
      <c r="N411" s="619"/>
      <c r="O411" s="619">
        <v>10</v>
      </c>
      <c r="P411" s="619" t="s">
        <v>760</v>
      </c>
      <c r="Q411" s="662"/>
      <c r="R411" s="618"/>
      <c r="S411" s="621" t="s">
        <v>1291</v>
      </c>
      <c r="T411" s="619" t="s">
        <v>1061</v>
      </c>
    </row>
    <row r="412" spans="1:20">
      <c r="A412" s="622"/>
      <c r="B412" s="628"/>
      <c r="C412" s="623"/>
      <c r="D412" s="623" t="s">
        <v>857</v>
      </c>
      <c r="E412" s="627" t="s">
        <v>1063</v>
      </c>
      <c r="F412" s="626"/>
      <c r="G412" s="623"/>
      <c r="H412" s="627"/>
      <c r="I412" s="618"/>
      <c r="J412" s="618"/>
      <c r="K412" s="618"/>
      <c r="L412" s="618"/>
      <c r="M412" s="618"/>
      <c r="N412" s="618"/>
      <c r="O412" s="618"/>
      <c r="P412" s="618"/>
      <c r="Q412" s="662"/>
      <c r="R412" s="618"/>
      <c r="S412" s="621"/>
      <c r="T412" s="618"/>
    </row>
    <row r="413" spans="1:20">
      <c r="A413" s="630">
        <v>2101410</v>
      </c>
      <c r="B413" s="628"/>
      <c r="C413" s="623"/>
      <c r="D413" s="623"/>
      <c r="E413" s="627" t="s">
        <v>1158</v>
      </c>
      <c r="F413" s="631" t="s">
        <v>1318</v>
      </c>
      <c r="G413" s="661">
        <v>210</v>
      </c>
      <c r="H413" s="633">
        <v>1410</v>
      </c>
      <c r="I413" s="618"/>
      <c r="J413" s="619" t="s">
        <v>1158</v>
      </c>
      <c r="K413" s="618"/>
      <c r="L413" s="619">
        <v>89</v>
      </c>
      <c r="M413" s="620">
        <v>84</v>
      </c>
      <c r="N413" s="619"/>
      <c r="O413" s="619">
        <v>10</v>
      </c>
      <c r="P413" s="619" t="s">
        <v>760</v>
      </c>
      <c r="Q413" s="662" t="s">
        <v>1002</v>
      </c>
      <c r="R413" s="618"/>
      <c r="S413" s="621" t="s">
        <v>1291</v>
      </c>
      <c r="T413" s="619" t="s">
        <v>1064</v>
      </c>
    </row>
    <row r="414" spans="1:20">
      <c r="A414" s="630">
        <v>2201410</v>
      </c>
      <c r="B414" s="628"/>
      <c r="C414" s="623"/>
      <c r="D414" s="623"/>
      <c r="E414" s="627" t="s">
        <v>1160</v>
      </c>
      <c r="F414" s="631" t="s">
        <v>1319</v>
      </c>
      <c r="G414" s="661">
        <v>220</v>
      </c>
      <c r="H414" s="633">
        <v>1410</v>
      </c>
      <c r="I414" s="618"/>
      <c r="J414" s="619" t="s">
        <v>1160</v>
      </c>
      <c r="K414" s="618"/>
      <c r="L414" s="619">
        <v>90</v>
      </c>
      <c r="M414" s="620">
        <v>85</v>
      </c>
      <c r="N414" s="619"/>
      <c r="O414" s="619">
        <v>10</v>
      </c>
      <c r="P414" s="619" t="s">
        <v>760</v>
      </c>
      <c r="Q414" s="662" t="s">
        <v>1002</v>
      </c>
      <c r="R414" s="618"/>
      <c r="S414" s="621" t="s">
        <v>1291</v>
      </c>
      <c r="T414" s="619" t="s">
        <v>1066</v>
      </c>
    </row>
    <row r="415" spans="1:20">
      <c r="A415" s="630">
        <v>2251410</v>
      </c>
      <c r="B415" s="628"/>
      <c r="C415" s="623"/>
      <c r="D415" s="623"/>
      <c r="E415" s="627" t="s">
        <v>1162</v>
      </c>
      <c r="F415" s="631" t="s">
        <v>1320</v>
      </c>
      <c r="G415" s="661">
        <v>225</v>
      </c>
      <c r="H415" s="633">
        <v>1410</v>
      </c>
      <c r="I415" s="618"/>
      <c r="J415" s="619" t="s">
        <v>1162</v>
      </c>
      <c r="K415" s="618"/>
      <c r="L415" s="619">
        <v>91</v>
      </c>
      <c r="M415" s="620">
        <v>86</v>
      </c>
      <c r="N415" s="619"/>
      <c r="O415" s="619">
        <v>10</v>
      </c>
      <c r="P415" s="619" t="s">
        <v>760</v>
      </c>
      <c r="Q415" s="662" t="s">
        <v>1002</v>
      </c>
      <c r="R415" s="618"/>
      <c r="S415" s="621" t="s">
        <v>1291</v>
      </c>
      <c r="T415" s="619" t="s">
        <v>23</v>
      </c>
    </row>
    <row r="416" spans="1:20">
      <c r="A416" s="622"/>
      <c r="B416" s="628"/>
      <c r="C416" s="623"/>
      <c r="D416" s="623"/>
      <c r="E416" s="627" t="s">
        <v>1164</v>
      </c>
      <c r="F416" s="626"/>
      <c r="G416" s="623"/>
      <c r="H416" s="627"/>
      <c r="I416" s="618"/>
      <c r="J416" s="618"/>
      <c r="K416" s="618"/>
      <c r="L416" s="618"/>
      <c r="M416" s="618"/>
      <c r="N416" s="618"/>
      <c r="O416" s="618"/>
      <c r="P416" s="618"/>
      <c r="Q416" s="662"/>
      <c r="R416" s="618"/>
      <c r="S416" s="621"/>
      <c r="T416" s="618"/>
    </row>
    <row r="417" spans="1:20">
      <c r="A417" s="630">
        <v>2311410</v>
      </c>
      <c r="B417" s="628"/>
      <c r="C417" s="623"/>
      <c r="D417" s="623"/>
      <c r="E417" s="627" t="s">
        <v>1165</v>
      </c>
      <c r="F417" s="631" t="s">
        <v>1321</v>
      </c>
      <c r="G417" s="661">
        <v>231</v>
      </c>
      <c r="H417" s="633">
        <v>1410</v>
      </c>
      <c r="I417" s="618"/>
      <c r="J417" s="619" t="s">
        <v>1165</v>
      </c>
      <c r="K417" s="618"/>
      <c r="L417" s="619">
        <v>92</v>
      </c>
      <c r="M417" s="620">
        <v>87</v>
      </c>
      <c r="N417" s="619"/>
      <c r="O417" s="619">
        <v>10</v>
      </c>
      <c r="P417" s="619" t="s">
        <v>760</v>
      </c>
      <c r="Q417" s="662" t="s">
        <v>1002</v>
      </c>
      <c r="R417" s="618"/>
      <c r="S417" s="621" t="s">
        <v>1291</v>
      </c>
      <c r="T417" s="619" t="s">
        <v>1072</v>
      </c>
    </row>
    <row r="418" spans="1:20">
      <c r="A418" s="630">
        <v>2331410</v>
      </c>
      <c r="B418" s="628"/>
      <c r="C418" s="623"/>
      <c r="D418" s="623"/>
      <c r="E418" s="627" t="s">
        <v>1167</v>
      </c>
      <c r="F418" s="631" t="s">
        <v>1322</v>
      </c>
      <c r="G418" s="661">
        <v>233</v>
      </c>
      <c r="H418" s="633">
        <v>1410</v>
      </c>
      <c r="I418" s="618"/>
      <c r="J418" s="619" t="s">
        <v>1167</v>
      </c>
      <c r="K418" s="618"/>
      <c r="L418" s="619">
        <v>92</v>
      </c>
      <c r="M418" s="620">
        <v>87</v>
      </c>
      <c r="N418" s="619"/>
      <c r="O418" s="619">
        <v>10</v>
      </c>
      <c r="P418" s="619" t="s">
        <v>760</v>
      </c>
      <c r="Q418" s="662" t="s">
        <v>1002</v>
      </c>
      <c r="R418" s="618"/>
      <c r="S418" s="621" t="s">
        <v>1291</v>
      </c>
      <c r="T418" s="619" t="s">
        <v>1169</v>
      </c>
    </row>
    <row r="419" spans="1:20">
      <c r="A419" s="630">
        <v>2391410</v>
      </c>
      <c r="B419" s="628"/>
      <c r="C419" s="623"/>
      <c r="D419" s="623"/>
      <c r="E419" s="627" t="s">
        <v>1170</v>
      </c>
      <c r="F419" s="631" t="s">
        <v>1323</v>
      </c>
      <c r="G419" s="661">
        <v>239</v>
      </c>
      <c r="H419" s="633">
        <v>1410</v>
      </c>
      <c r="I419" s="618"/>
      <c r="J419" s="619" t="s">
        <v>1170</v>
      </c>
      <c r="K419" s="618"/>
      <c r="L419" s="619">
        <v>92</v>
      </c>
      <c r="M419" s="620">
        <v>87</v>
      </c>
      <c r="N419" s="619"/>
      <c r="O419" s="619">
        <v>10</v>
      </c>
      <c r="P419" s="619" t="s">
        <v>760</v>
      </c>
      <c r="Q419" s="662" t="s">
        <v>1002</v>
      </c>
      <c r="R419" s="618"/>
      <c r="S419" s="621" t="s">
        <v>1291</v>
      </c>
      <c r="T419" s="619" t="s">
        <v>1078</v>
      </c>
    </row>
    <row r="420" spans="1:20">
      <c r="A420" s="630">
        <v>2501410</v>
      </c>
      <c r="B420" s="628"/>
      <c r="C420" s="623"/>
      <c r="D420" s="623"/>
      <c r="E420" s="627" t="s">
        <v>1172</v>
      </c>
      <c r="F420" s="631" t="s">
        <v>1324</v>
      </c>
      <c r="G420" s="661">
        <v>250</v>
      </c>
      <c r="H420" s="633">
        <v>1410</v>
      </c>
      <c r="I420" s="618"/>
      <c r="J420" s="619" t="s">
        <v>1172</v>
      </c>
      <c r="K420" s="618"/>
      <c r="L420" s="619">
        <v>93</v>
      </c>
      <c r="M420" s="620">
        <v>88</v>
      </c>
      <c r="N420" s="619"/>
      <c r="O420" s="619">
        <v>10</v>
      </c>
      <c r="P420" s="619" t="s">
        <v>760</v>
      </c>
      <c r="Q420" s="662" t="s">
        <v>1002</v>
      </c>
      <c r="R420" s="618"/>
      <c r="S420" s="621" t="s">
        <v>1291</v>
      </c>
      <c r="T420" s="619" t="s">
        <v>1079</v>
      </c>
    </row>
    <row r="421" spans="1:20">
      <c r="A421" s="630">
        <v>2601410</v>
      </c>
      <c r="B421" s="628"/>
      <c r="C421" s="623"/>
      <c r="D421" s="623"/>
      <c r="E421" s="627" t="s">
        <v>1174</v>
      </c>
      <c r="F421" s="631" t="s">
        <v>1325</v>
      </c>
      <c r="G421" s="661">
        <v>260</v>
      </c>
      <c r="H421" s="633">
        <v>1410</v>
      </c>
      <c r="I421" s="618"/>
      <c r="J421" s="619" t="s">
        <v>1174</v>
      </c>
      <c r="K421" s="618"/>
      <c r="L421" s="619">
        <v>95</v>
      </c>
      <c r="M421" s="620">
        <v>90</v>
      </c>
      <c r="N421" s="619"/>
      <c r="O421" s="619">
        <v>10</v>
      </c>
      <c r="P421" s="619" t="s">
        <v>760</v>
      </c>
      <c r="Q421" s="662" t="s">
        <v>1002</v>
      </c>
      <c r="R421" s="618"/>
      <c r="S421" s="621" t="s">
        <v>1291</v>
      </c>
      <c r="T421" s="619" t="s">
        <v>1081</v>
      </c>
    </row>
    <row r="422" spans="1:20">
      <c r="A422" s="630">
        <v>2701410</v>
      </c>
      <c r="B422" s="628"/>
      <c r="C422" s="623"/>
      <c r="D422" s="623"/>
      <c r="E422" s="627" t="s">
        <v>1176</v>
      </c>
      <c r="F422" s="631" t="s">
        <v>1326</v>
      </c>
      <c r="G422" s="661">
        <v>270</v>
      </c>
      <c r="H422" s="633">
        <v>1410</v>
      </c>
      <c r="I422" s="618"/>
      <c r="J422" s="619" t="s">
        <v>1176</v>
      </c>
      <c r="K422" s="618"/>
      <c r="L422" s="619">
        <v>94</v>
      </c>
      <c r="M422" s="620">
        <v>89</v>
      </c>
      <c r="N422" s="619"/>
      <c r="O422" s="619">
        <v>10</v>
      </c>
      <c r="P422" s="619" t="s">
        <v>760</v>
      </c>
      <c r="Q422" s="662" t="s">
        <v>1002</v>
      </c>
      <c r="R422" s="618"/>
      <c r="S422" s="621" t="s">
        <v>1291</v>
      </c>
      <c r="T422" s="619" t="s">
        <v>1083</v>
      </c>
    </row>
    <row r="423" spans="1:20">
      <c r="A423" s="630">
        <v>2811410</v>
      </c>
      <c r="B423" s="628"/>
      <c r="C423" s="623"/>
      <c r="D423" s="623"/>
      <c r="E423" s="627" t="s">
        <v>1178</v>
      </c>
      <c r="F423" s="631" t="s">
        <v>1327</v>
      </c>
      <c r="G423" s="661">
        <v>281</v>
      </c>
      <c r="H423" s="633">
        <v>1410</v>
      </c>
      <c r="I423" s="618"/>
      <c r="J423" s="619" t="s">
        <v>1178</v>
      </c>
      <c r="K423" s="618"/>
      <c r="L423" s="619">
        <v>95</v>
      </c>
      <c r="M423" s="620">
        <v>90</v>
      </c>
      <c r="N423" s="619"/>
      <c r="O423" s="619">
        <v>10</v>
      </c>
      <c r="P423" s="619" t="s">
        <v>760</v>
      </c>
      <c r="Q423" s="662" t="s">
        <v>1002</v>
      </c>
      <c r="R423" s="618"/>
      <c r="S423" s="621" t="s">
        <v>1291</v>
      </c>
      <c r="T423" s="619" t="s">
        <v>1085</v>
      </c>
    </row>
    <row r="424" spans="1:20">
      <c r="A424" s="630">
        <v>2821410</v>
      </c>
      <c r="B424" s="628"/>
      <c r="C424" s="623"/>
      <c r="D424" s="623"/>
      <c r="E424" s="627" t="s">
        <v>1180</v>
      </c>
      <c r="F424" s="631" t="s">
        <v>1328</v>
      </c>
      <c r="G424" s="661">
        <v>282</v>
      </c>
      <c r="H424" s="633">
        <v>1410</v>
      </c>
      <c r="I424" s="618"/>
      <c r="J424" s="619" t="s">
        <v>1180</v>
      </c>
      <c r="K424" s="618"/>
      <c r="L424" s="619">
        <v>95</v>
      </c>
      <c r="M424" s="620">
        <v>90</v>
      </c>
      <c r="N424" s="619"/>
      <c r="O424" s="619">
        <v>10</v>
      </c>
      <c r="P424" s="619" t="s">
        <v>760</v>
      </c>
      <c r="Q424" s="662" t="s">
        <v>1002</v>
      </c>
      <c r="R424" s="618"/>
      <c r="S424" s="621" t="s">
        <v>1291</v>
      </c>
      <c r="T424" s="619" t="s">
        <v>1087</v>
      </c>
    </row>
    <row r="425" spans="1:20">
      <c r="A425" s="630">
        <v>2901410</v>
      </c>
      <c r="B425" s="670"/>
      <c r="C425" s="632"/>
      <c r="D425" s="632"/>
      <c r="E425" s="637" t="s">
        <v>1182</v>
      </c>
      <c r="F425" s="631" t="s">
        <v>1329</v>
      </c>
      <c r="G425" s="661">
        <v>290</v>
      </c>
      <c r="H425" s="633">
        <v>1410</v>
      </c>
      <c r="I425" s="618"/>
      <c r="J425" s="619" t="s">
        <v>1182</v>
      </c>
      <c r="K425" s="618"/>
      <c r="L425" s="619">
        <v>95</v>
      </c>
      <c r="M425" s="620">
        <v>90</v>
      </c>
      <c r="N425" s="619"/>
      <c r="O425" s="619">
        <v>10</v>
      </c>
      <c r="P425" s="619" t="s">
        <v>760</v>
      </c>
      <c r="Q425" s="662" t="s">
        <v>1002</v>
      </c>
      <c r="R425" s="618"/>
      <c r="S425" s="621" t="s">
        <v>1291</v>
      </c>
      <c r="T425" s="619" t="s">
        <v>1090</v>
      </c>
    </row>
    <row r="426" spans="1:20">
      <c r="A426" s="622"/>
      <c r="B426" s="628"/>
      <c r="C426" s="629">
        <v>20</v>
      </c>
      <c r="D426" s="784" t="s">
        <v>1330</v>
      </c>
      <c r="E426" s="775"/>
      <c r="F426" s="626"/>
      <c r="G426" s="623"/>
      <c r="H426" s="627"/>
      <c r="I426" s="618"/>
      <c r="J426" s="618"/>
      <c r="K426" s="618"/>
      <c r="L426" s="618"/>
      <c r="M426" s="618"/>
      <c r="N426" s="618"/>
      <c r="O426" s="618"/>
      <c r="P426" s="618"/>
      <c r="Q426" s="662"/>
      <c r="R426" s="618"/>
      <c r="S426" s="621"/>
      <c r="T426" s="618"/>
    </row>
    <row r="427" spans="1:20">
      <c r="A427" s="622"/>
      <c r="B427" s="628"/>
      <c r="C427" s="623"/>
      <c r="D427" s="623" t="s">
        <v>756</v>
      </c>
      <c r="E427" s="627" t="s">
        <v>244</v>
      </c>
      <c r="F427" s="626"/>
      <c r="G427" s="623"/>
      <c r="H427" s="627"/>
      <c r="I427" s="618"/>
      <c r="J427" s="618"/>
      <c r="K427" s="618"/>
      <c r="L427" s="618"/>
      <c r="M427" s="618"/>
      <c r="N427" s="618"/>
      <c r="O427" s="618"/>
      <c r="P427" s="618"/>
      <c r="Q427" s="662"/>
      <c r="R427" s="618"/>
      <c r="S427" s="621"/>
      <c r="T427" s="618"/>
    </row>
    <row r="428" spans="1:20">
      <c r="A428" s="630">
        <v>1121420</v>
      </c>
      <c r="B428" s="628"/>
      <c r="C428" s="623"/>
      <c r="D428" s="623"/>
      <c r="E428" s="627" t="s">
        <v>1331</v>
      </c>
      <c r="F428" s="631" t="s">
        <v>1332</v>
      </c>
      <c r="G428" s="661">
        <v>112</v>
      </c>
      <c r="H428" s="633">
        <v>1420</v>
      </c>
      <c r="I428" s="618"/>
      <c r="J428" s="619" t="s">
        <v>1331</v>
      </c>
      <c r="K428" s="618"/>
      <c r="L428" s="619">
        <v>82</v>
      </c>
      <c r="M428" s="620">
        <v>77</v>
      </c>
      <c r="N428" s="619"/>
      <c r="O428" s="619">
        <v>10</v>
      </c>
      <c r="P428" s="619" t="s">
        <v>760</v>
      </c>
      <c r="Q428" s="662" t="s">
        <v>1002</v>
      </c>
      <c r="R428" s="618"/>
      <c r="S428" s="621" t="s">
        <v>1333</v>
      </c>
      <c r="T428" s="619" t="s">
        <v>1334</v>
      </c>
    </row>
    <row r="429" spans="1:20">
      <c r="A429" s="630">
        <v>1151420</v>
      </c>
      <c r="B429" s="628"/>
      <c r="C429" s="623"/>
      <c r="D429" s="623"/>
      <c r="E429" s="627" t="s">
        <v>1099</v>
      </c>
      <c r="F429" s="631" t="s">
        <v>1335</v>
      </c>
      <c r="G429" s="661">
        <v>115</v>
      </c>
      <c r="H429" s="633">
        <v>1420</v>
      </c>
      <c r="I429" s="618"/>
      <c r="J429" s="619" t="s">
        <v>1099</v>
      </c>
      <c r="K429" s="618"/>
      <c r="L429" s="619">
        <v>86</v>
      </c>
      <c r="M429" s="620">
        <v>81</v>
      </c>
      <c r="N429" s="619"/>
      <c r="O429" s="619">
        <v>10</v>
      </c>
      <c r="P429" s="619" t="s">
        <v>760</v>
      </c>
      <c r="Q429" s="662" t="s">
        <v>1002</v>
      </c>
      <c r="R429" s="618"/>
      <c r="S429" s="621" t="s">
        <v>1333</v>
      </c>
      <c r="T429" s="619" t="s">
        <v>1101</v>
      </c>
    </row>
    <row r="430" spans="1:20">
      <c r="A430" s="630">
        <v>1231420</v>
      </c>
      <c r="B430" s="628"/>
      <c r="C430" s="623"/>
      <c r="D430" s="623"/>
      <c r="E430" s="627" t="s">
        <v>1102</v>
      </c>
      <c r="F430" s="631" t="s">
        <v>1336</v>
      </c>
      <c r="G430" s="661">
        <v>123</v>
      </c>
      <c r="H430" s="633">
        <v>1420</v>
      </c>
      <c r="I430" s="618"/>
      <c r="J430" s="619" t="s">
        <v>1102</v>
      </c>
      <c r="K430" s="618"/>
      <c r="L430" s="619">
        <v>86</v>
      </c>
      <c r="M430" s="620">
        <v>81</v>
      </c>
      <c r="N430" s="619"/>
      <c r="O430" s="619">
        <v>10</v>
      </c>
      <c r="P430" s="619" t="s">
        <v>760</v>
      </c>
      <c r="Q430" s="662" t="s">
        <v>1002</v>
      </c>
      <c r="R430" s="618"/>
      <c r="S430" s="621" t="s">
        <v>1333</v>
      </c>
      <c r="T430" s="619" t="s">
        <v>1104</v>
      </c>
    </row>
    <row r="431" spans="1:20">
      <c r="A431" s="630">
        <v>1201420</v>
      </c>
      <c r="B431" s="628"/>
      <c r="C431" s="623"/>
      <c r="D431" s="623"/>
      <c r="E431" s="627" t="s">
        <v>1105</v>
      </c>
      <c r="F431" s="631" t="s">
        <v>1337</v>
      </c>
      <c r="G431" s="661">
        <v>120</v>
      </c>
      <c r="H431" s="633">
        <v>1420</v>
      </c>
      <c r="I431" s="618"/>
      <c r="J431" s="619" t="s">
        <v>1105</v>
      </c>
      <c r="K431" s="618"/>
      <c r="L431" s="619">
        <v>86</v>
      </c>
      <c r="M431" s="620">
        <v>81</v>
      </c>
      <c r="N431" s="619"/>
      <c r="O431" s="619">
        <v>10</v>
      </c>
      <c r="P431" s="619" t="s">
        <v>760</v>
      </c>
      <c r="Q431" s="662" t="s">
        <v>1002</v>
      </c>
      <c r="R431" s="618"/>
      <c r="S431" s="621" t="s">
        <v>1333</v>
      </c>
      <c r="T431" s="619" t="s">
        <v>1107</v>
      </c>
    </row>
    <row r="432" spans="1:20">
      <c r="A432" s="630">
        <v>1001420</v>
      </c>
      <c r="B432" s="628"/>
      <c r="C432" s="623"/>
      <c r="D432" s="623"/>
      <c r="E432" s="627" t="s">
        <v>1108</v>
      </c>
      <c r="F432" s="631" t="s">
        <v>1338</v>
      </c>
      <c r="G432" s="661">
        <v>100</v>
      </c>
      <c r="H432" s="633">
        <v>1420</v>
      </c>
      <c r="I432" s="618"/>
      <c r="J432" s="619" t="s">
        <v>1108</v>
      </c>
      <c r="K432" s="618"/>
      <c r="L432" s="619">
        <v>86</v>
      </c>
      <c r="M432" s="620">
        <v>81</v>
      </c>
      <c r="N432" s="619"/>
      <c r="O432" s="619">
        <v>10</v>
      </c>
      <c r="P432" s="619" t="s">
        <v>760</v>
      </c>
      <c r="Q432" s="662" t="s">
        <v>1002</v>
      </c>
      <c r="R432" s="618"/>
      <c r="S432" s="621" t="s">
        <v>1333</v>
      </c>
      <c r="T432" s="619" t="s">
        <v>1015</v>
      </c>
    </row>
    <row r="433" spans="1:20">
      <c r="A433" s="630">
        <v>1401420</v>
      </c>
      <c r="B433" s="628"/>
      <c r="C433" s="623"/>
      <c r="D433" s="623"/>
      <c r="E433" s="627" t="s">
        <v>1110</v>
      </c>
      <c r="F433" s="631" t="s">
        <v>1339</v>
      </c>
      <c r="G433" s="661">
        <v>140</v>
      </c>
      <c r="H433" s="633">
        <v>1420</v>
      </c>
      <c r="I433" s="618"/>
      <c r="J433" s="619" t="s">
        <v>1110</v>
      </c>
      <c r="K433" s="618"/>
      <c r="L433" s="619">
        <v>86</v>
      </c>
      <c r="M433" s="620">
        <v>81</v>
      </c>
      <c r="N433" s="619"/>
      <c r="O433" s="619">
        <v>10</v>
      </c>
      <c r="P433" s="619" t="s">
        <v>760</v>
      </c>
      <c r="Q433" s="662" t="s">
        <v>1002</v>
      </c>
      <c r="R433" s="618"/>
      <c r="S433" s="621" t="s">
        <v>1333</v>
      </c>
      <c r="T433" s="619" t="s">
        <v>1017</v>
      </c>
    </row>
    <row r="434" spans="1:20">
      <c r="A434" s="630">
        <v>3001420</v>
      </c>
      <c r="B434" s="628"/>
      <c r="C434" s="623"/>
      <c r="D434" s="623" t="s">
        <v>775</v>
      </c>
      <c r="E434" s="627" t="s">
        <v>1112</v>
      </c>
      <c r="F434" s="631" t="s">
        <v>1340</v>
      </c>
      <c r="G434" s="661">
        <v>300</v>
      </c>
      <c r="H434" s="633">
        <v>1420</v>
      </c>
      <c r="I434" s="618"/>
      <c r="J434" s="619" t="s">
        <v>1112</v>
      </c>
      <c r="K434" s="618"/>
      <c r="L434" s="619">
        <v>101</v>
      </c>
      <c r="M434" s="620">
        <v>96</v>
      </c>
      <c r="N434" s="619"/>
      <c r="O434" s="619">
        <v>10</v>
      </c>
      <c r="P434" s="619" t="s">
        <v>760</v>
      </c>
      <c r="Q434" s="662"/>
      <c r="R434" s="618"/>
      <c r="S434" s="621" t="s">
        <v>1333</v>
      </c>
      <c r="T434" s="619" t="s">
        <v>1112</v>
      </c>
    </row>
    <row r="435" spans="1:20">
      <c r="A435" s="622"/>
      <c r="B435" s="628"/>
      <c r="C435" s="623"/>
      <c r="D435" s="623" t="s">
        <v>799</v>
      </c>
      <c r="E435" s="627" t="s">
        <v>250</v>
      </c>
      <c r="F435" s="626"/>
      <c r="G435" s="623"/>
      <c r="H435" s="627"/>
      <c r="I435" s="618"/>
      <c r="J435" s="618"/>
      <c r="K435" s="618"/>
      <c r="L435" s="618"/>
      <c r="M435" s="618"/>
      <c r="N435" s="618"/>
      <c r="O435" s="618"/>
      <c r="P435" s="618"/>
      <c r="Q435" s="662"/>
      <c r="R435" s="618"/>
      <c r="S435" s="621"/>
      <c r="T435" s="618"/>
    </row>
    <row r="436" spans="1:20">
      <c r="A436" s="630">
        <v>4301420</v>
      </c>
      <c r="B436" s="628"/>
      <c r="C436" s="623"/>
      <c r="D436" s="623"/>
      <c r="E436" s="627" t="s">
        <v>1114</v>
      </c>
      <c r="F436" s="631" t="s">
        <v>1341</v>
      </c>
      <c r="G436" s="661">
        <v>430</v>
      </c>
      <c r="H436" s="633">
        <v>1420</v>
      </c>
      <c r="I436" s="618"/>
      <c r="J436" s="619" t="s">
        <v>1114</v>
      </c>
      <c r="K436" s="618"/>
      <c r="L436" s="619">
        <v>107</v>
      </c>
      <c r="M436" s="620">
        <v>102</v>
      </c>
      <c r="N436" s="619"/>
      <c r="O436" s="619">
        <v>10</v>
      </c>
      <c r="P436" s="619" t="s">
        <v>760</v>
      </c>
      <c r="Q436" s="662"/>
      <c r="R436" s="618"/>
      <c r="S436" s="621" t="s">
        <v>1333</v>
      </c>
      <c r="T436" s="619" t="s">
        <v>1021</v>
      </c>
    </row>
    <row r="437" spans="1:20">
      <c r="A437" s="630">
        <v>4421420</v>
      </c>
      <c r="B437" s="628"/>
      <c r="C437" s="623"/>
      <c r="D437" s="623"/>
      <c r="E437" s="627" t="s">
        <v>1116</v>
      </c>
      <c r="F437" s="631" t="s">
        <v>1342</v>
      </c>
      <c r="G437" s="661">
        <v>442</v>
      </c>
      <c r="H437" s="633">
        <v>1420</v>
      </c>
      <c r="I437" s="618"/>
      <c r="J437" s="619" t="s">
        <v>1116</v>
      </c>
      <c r="K437" s="618"/>
      <c r="L437" s="619">
        <v>106</v>
      </c>
      <c r="M437" s="620">
        <v>101</v>
      </c>
      <c r="N437" s="619"/>
      <c r="O437" s="619">
        <v>10</v>
      </c>
      <c r="P437" s="619" t="s">
        <v>760</v>
      </c>
      <c r="Q437" s="662"/>
      <c r="R437" s="618"/>
      <c r="S437" s="621" t="s">
        <v>1333</v>
      </c>
      <c r="T437" s="619" t="s">
        <v>1023</v>
      </c>
    </row>
    <row r="438" spans="1:20">
      <c r="A438" s="630">
        <v>4001420</v>
      </c>
      <c r="B438" s="628"/>
      <c r="C438" s="623"/>
      <c r="D438" s="623"/>
      <c r="E438" s="627" t="s">
        <v>1118</v>
      </c>
      <c r="F438" s="631" t="s">
        <v>1343</v>
      </c>
      <c r="G438" s="661">
        <v>400</v>
      </c>
      <c r="H438" s="633">
        <v>1420</v>
      </c>
      <c r="I438" s="618"/>
      <c r="J438" s="619" t="s">
        <v>1118</v>
      </c>
      <c r="K438" s="618"/>
      <c r="L438" s="619">
        <v>108</v>
      </c>
      <c r="M438" s="620">
        <v>103</v>
      </c>
      <c r="N438" s="619"/>
      <c r="O438" s="619">
        <v>10</v>
      </c>
      <c r="P438" s="619" t="s">
        <v>760</v>
      </c>
      <c r="Q438" s="662"/>
      <c r="R438" s="618"/>
      <c r="S438" s="621" t="s">
        <v>1333</v>
      </c>
      <c r="T438" s="619" t="s">
        <v>1025</v>
      </c>
    </row>
    <row r="439" spans="1:20">
      <c r="A439" s="622"/>
      <c r="B439" s="628"/>
      <c r="C439" s="623"/>
      <c r="D439" s="623" t="s">
        <v>803</v>
      </c>
      <c r="E439" s="627" t="s">
        <v>252</v>
      </c>
      <c r="F439" s="626"/>
      <c r="G439" s="623"/>
      <c r="H439" s="627"/>
      <c r="I439" s="618"/>
      <c r="J439" s="618"/>
      <c r="K439" s="618"/>
      <c r="L439" s="618"/>
      <c r="M439" s="618"/>
      <c r="N439" s="618"/>
      <c r="O439" s="618"/>
      <c r="P439" s="618"/>
      <c r="Q439" s="662"/>
      <c r="R439" s="618"/>
      <c r="S439" s="621"/>
      <c r="T439" s="618"/>
    </row>
    <row r="440" spans="1:20">
      <c r="A440" s="622"/>
      <c r="B440" s="628"/>
      <c r="C440" s="623"/>
      <c r="D440" s="623"/>
      <c r="E440" s="627" t="s">
        <v>1120</v>
      </c>
      <c r="F440" s="626"/>
      <c r="G440" s="623"/>
      <c r="H440" s="627"/>
      <c r="I440" s="618"/>
      <c r="J440" s="618"/>
      <c r="K440" s="618"/>
      <c r="L440" s="618"/>
      <c r="M440" s="618"/>
      <c r="N440" s="618"/>
      <c r="O440" s="618"/>
      <c r="P440" s="618"/>
      <c r="Q440" s="662"/>
      <c r="R440" s="618"/>
      <c r="S440" s="621"/>
      <c r="T440" s="618"/>
    </row>
    <row r="441" spans="1:20">
      <c r="A441" s="630">
        <v>5611420</v>
      </c>
      <c r="B441" s="628"/>
      <c r="C441" s="623"/>
      <c r="D441" s="623"/>
      <c r="E441" s="627" t="s">
        <v>1121</v>
      </c>
      <c r="F441" s="631" t="s">
        <v>1344</v>
      </c>
      <c r="G441" s="661">
        <v>561</v>
      </c>
      <c r="H441" s="633">
        <v>1420</v>
      </c>
      <c r="I441" s="618"/>
      <c r="J441" s="619" t="s">
        <v>1121</v>
      </c>
      <c r="K441" s="618"/>
      <c r="L441" s="619">
        <v>119</v>
      </c>
      <c r="M441" s="620">
        <v>110</v>
      </c>
      <c r="N441" s="619"/>
      <c r="O441" s="619">
        <v>10</v>
      </c>
      <c r="P441" s="619" t="s">
        <v>760</v>
      </c>
      <c r="Q441" s="662"/>
      <c r="R441" s="618"/>
      <c r="S441" s="621" t="s">
        <v>1333</v>
      </c>
      <c r="T441" s="619" t="s">
        <v>1030</v>
      </c>
    </row>
    <row r="442" spans="1:20">
      <c r="A442" s="630">
        <v>5621420</v>
      </c>
      <c r="B442" s="628"/>
      <c r="C442" s="623"/>
      <c r="D442" s="623"/>
      <c r="E442" s="627" t="s">
        <v>1123</v>
      </c>
      <c r="F442" s="631" t="s">
        <v>1345</v>
      </c>
      <c r="G442" s="661">
        <v>562</v>
      </c>
      <c r="H442" s="633">
        <v>1420</v>
      </c>
      <c r="I442" s="618"/>
      <c r="J442" s="619" t="s">
        <v>1123</v>
      </c>
      <c r="K442" s="618"/>
      <c r="L442" s="619">
        <v>119</v>
      </c>
      <c r="M442" s="620">
        <v>110</v>
      </c>
      <c r="N442" s="619"/>
      <c r="O442" s="619">
        <v>10</v>
      </c>
      <c r="P442" s="619" t="s">
        <v>760</v>
      </c>
      <c r="Q442" s="662"/>
      <c r="R442" s="618"/>
      <c r="S442" s="621" t="s">
        <v>1333</v>
      </c>
      <c r="T442" s="619" t="s">
        <v>1033</v>
      </c>
    </row>
    <row r="443" spans="1:20">
      <c r="A443" s="630">
        <v>5631420</v>
      </c>
      <c r="B443" s="628"/>
      <c r="C443" s="623"/>
      <c r="D443" s="623"/>
      <c r="E443" s="627" t="s">
        <v>1304</v>
      </c>
      <c r="F443" s="631" t="s">
        <v>1346</v>
      </c>
      <c r="G443" s="661">
        <v>563</v>
      </c>
      <c r="H443" s="633">
        <v>1420</v>
      </c>
      <c r="I443" s="618"/>
      <c r="J443" s="619" t="s">
        <v>1304</v>
      </c>
      <c r="K443" s="618"/>
      <c r="L443" s="619">
        <v>119</v>
      </c>
      <c r="M443" s="620">
        <v>110</v>
      </c>
      <c r="N443" s="619"/>
      <c r="O443" s="619">
        <v>10</v>
      </c>
      <c r="P443" s="619" t="s">
        <v>760</v>
      </c>
      <c r="Q443" s="662"/>
      <c r="R443" s="618"/>
      <c r="S443" s="621" t="s">
        <v>1333</v>
      </c>
      <c r="T443" s="619" t="s">
        <v>1036</v>
      </c>
    </row>
    <row r="444" spans="1:20">
      <c r="A444" s="630">
        <v>5821420</v>
      </c>
      <c r="B444" s="628"/>
      <c r="C444" s="623"/>
      <c r="D444" s="623"/>
      <c r="E444" s="627" t="s">
        <v>1134</v>
      </c>
      <c r="F444" s="631" t="s">
        <v>1347</v>
      </c>
      <c r="G444" s="661">
        <v>582</v>
      </c>
      <c r="H444" s="633">
        <v>1420</v>
      </c>
      <c r="I444" s="618"/>
      <c r="J444" s="619" t="s">
        <v>1134</v>
      </c>
      <c r="K444" s="618"/>
      <c r="L444" s="619">
        <v>118</v>
      </c>
      <c r="M444" s="620">
        <v>109</v>
      </c>
      <c r="N444" s="619"/>
      <c r="O444" s="619">
        <v>10</v>
      </c>
      <c r="P444" s="619" t="s">
        <v>760</v>
      </c>
      <c r="Q444" s="662"/>
      <c r="R444" s="618"/>
      <c r="S444" s="621" t="s">
        <v>1333</v>
      </c>
      <c r="T444" s="619" t="s">
        <v>1037</v>
      </c>
    </row>
    <row r="445" spans="1:20">
      <c r="A445" s="630">
        <v>5001420</v>
      </c>
      <c r="B445" s="628"/>
      <c r="C445" s="623"/>
      <c r="D445" s="623"/>
      <c r="E445" s="627" t="s">
        <v>1136</v>
      </c>
      <c r="F445" s="631" t="s">
        <v>1348</v>
      </c>
      <c r="G445" s="661">
        <v>500</v>
      </c>
      <c r="H445" s="633">
        <v>1420</v>
      </c>
      <c r="I445" s="618"/>
      <c r="J445" s="619" t="s">
        <v>1136</v>
      </c>
      <c r="K445" s="618"/>
      <c r="L445" s="619">
        <v>119</v>
      </c>
      <c r="M445" s="620">
        <v>110</v>
      </c>
      <c r="N445" s="619"/>
      <c r="O445" s="619">
        <v>10</v>
      </c>
      <c r="P445" s="619" t="s">
        <v>760</v>
      </c>
      <c r="Q445" s="662"/>
      <c r="R445" s="618"/>
      <c r="S445" s="621" t="s">
        <v>1333</v>
      </c>
      <c r="T445" s="619" t="s">
        <v>252</v>
      </c>
    </row>
    <row r="446" spans="1:20">
      <c r="A446" s="622"/>
      <c r="B446" s="628"/>
      <c r="C446" s="623"/>
      <c r="D446" s="623" t="s">
        <v>848</v>
      </c>
      <c r="E446" s="627" t="s">
        <v>1040</v>
      </c>
      <c r="F446" s="626"/>
      <c r="G446" s="623"/>
      <c r="H446" s="627"/>
      <c r="I446" s="618"/>
      <c r="J446" s="618"/>
      <c r="K446" s="618"/>
      <c r="L446" s="618"/>
      <c r="M446" s="618"/>
      <c r="N446" s="618"/>
      <c r="O446" s="618"/>
      <c r="P446" s="618"/>
      <c r="Q446" s="662"/>
      <c r="R446" s="618"/>
      <c r="S446" s="621"/>
      <c r="T446" s="618"/>
    </row>
    <row r="447" spans="1:20">
      <c r="A447" s="630">
        <v>6151420</v>
      </c>
      <c r="B447" s="628"/>
      <c r="C447" s="623"/>
      <c r="D447" s="623"/>
      <c r="E447" s="627" t="s">
        <v>1138</v>
      </c>
      <c r="F447" s="631" t="s">
        <v>1349</v>
      </c>
      <c r="G447" s="661">
        <v>615</v>
      </c>
      <c r="H447" s="633">
        <v>1420</v>
      </c>
      <c r="I447" s="618"/>
      <c r="J447" s="619" t="s">
        <v>1138</v>
      </c>
      <c r="K447" s="618"/>
      <c r="L447" s="619">
        <v>126</v>
      </c>
      <c r="M447" s="620">
        <v>117</v>
      </c>
      <c r="N447" s="619"/>
      <c r="O447" s="619">
        <v>10</v>
      </c>
      <c r="P447" s="619" t="s">
        <v>760</v>
      </c>
      <c r="Q447" s="662" t="s">
        <v>1043</v>
      </c>
      <c r="R447" s="618"/>
      <c r="S447" s="621" t="s">
        <v>1333</v>
      </c>
      <c r="T447" s="619" t="s">
        <v>1041</v>
      </c>
    </row>
    <row r="448" spans="1:20">
      <c r="A448" s="630">
        <v>6101420</v>
      </c>
      <c r="B448" s="628"/>
      <c r="C448" s="623"/>
      <c r="D448" s="623"/>
      <c r="E448" s="627" t="s">
        <v>1140</v>
      </c>
      <c r="F448" s="631" t="s">
        <v>1350</v>
      </c>
      <c r="G448" s="661">
        <v>610</v>
      </c>
      <c r="H448" s="633">
        <v>1420</v>
      </c>
      <c r="I448" s="618"/>
      <c r="J448" s="619" t="s">
        <v>1140</v>
      </c>
      <c r="K448" s="618"/>
      <c r="L448" s="619">
        <v>122</v>
      </c>
      <c r="M448" s="620">
        <v>113</v>
      </c>
      <c r="N448" s="619"/>
      <c r="O448" s="619">
        <v>10</v>
      </c>
      <c r="P448" s="619" t="s">
        <v>760</v>
      </c>
      <c r="Q448" s="662" t="s">
        <v>1043</v>
      </c>
      <c r="R448" s="618"/>
      <c r="S448" s="621" t="s">
        <v>1333</v>
      </c>
      <c r="T448" s="619" t="s">
        <v>39</v>
      </c>
    </row>
    <row r="449" spans="1:20">
      <c r="A449" s="630">
        <v>6421420</v>
      </c>
      <c r="B449" s="628"/>
      <c r="C449" s="623"/>
      <c r="D449" s="623"/>
      <c r="E449" s="627" t="s">
        <v>1142</v>
      </c>
      <c r="F449" s="631" t="s">
        <v>1351</v>
      </c>
      <c r="G449" s="661">
        <v>642</v>
      </c>
      <c r="H449" s="633">
        <v>1420</v>
      </c>
      <c r="I449" s="618"/>
      <c r="J449" s="619" t="s">
        <v>1142</v>
      </c>
      <c r="K449" s="618"/>
      <c r="L449" s="619">
        <v>125</v>
      </c>
      <c r="M449" s="620">
        <v>116</v>
      </c>
      <c r="N449" s="619"/>
      <c r="O449" s="619">
        <v>10</v>
      </c>
      <c r="P449" s="619" t="s">
        <v>760</v>
      </c>
      <c r="Q449" s="662" t="s">
        <v>1043</v>
      </c>
      <c r="R449" s="618"/>
      <c r="S449" s="621" t="s">
        <v>1333</v>
      </c>
      <c r="T449" s="619" t="s">
        <v>1046</v>
      </c>
    </row>
    <row r="450" spans="1:20">
      <c r="A450" s="630">
        <v>6001420</v>
      </c>
      <c r="B450" s="628"/>
      <c r="C450" s="623"/>
      <c r="D450" s="623"/>
      <c r="E450" s="627" t="s">
        <v>1144</v>
      </c>
      <c r="F450" s="631" t="s">
        <v>1352</v>
      </c>
      <c r="G450" s="661">
        <v>600</v>
      </c>
      <c r="H450" s="633">
        <v>1420</v>
      </c>
      <c r="I450" s="618"/>
      <c r="J450" s="619" t="s">
        <v>1144</v>
      </c>
      <c r="K450" s="618"/>
      <c r="L450" s="619">
        <v>126</v>
      </c>
      <c r="M450" s="620">
        <v>117</v>
      </c>
      <c r="N450" s="619"/>
      <c r="O450" s="619">
        <v>10</v>
      </c>
      <c r="P450" s="619" t="s">
        <v>760</v>
      </c>
      <c r="Q450" s="662"/>
      <c r="R450" s="618"/>
      <c r="S450" s="621" t="s">
        <v>1333</v>
      </c>
      <c r="T450" s="619" t="s">
        <v>1048</v>
      </c>
    </row>
    <row r="451" spans="1:20">
      <c r="A451" s="622"/>
      <c r="B451" s="628"/>
      <c r="C451" s="623"/>
      <c r="D451" s="623" t="s">
        <v>851</v>
      </c>
      <c r="E451" s="627" t="s">
        <v>1050</v>
      </c>
      <c r="F451" s="626"/>
      <c r="G451" s="623"/>
      <c r="H451" s="627"/>
      <c r="I451" s="618"/>
      <c r="J451" s="618"/>
      <c r="K451" s="618"/>
      <c r="L451" s="618"/>
      <c r="M451" s="618"/>
      <c r="N451" s="618"/>
      <c r="O451" s="618"/>
      <c r="P451" s="618"/>
      <c r="Q451" s="662"/>
      <c r="R451" s="618"/>
      <c r="S451" s="621"/>
      <c r="T451" s="618"/>
    </row>
    <row r="452" spans="1:20">
      <c r="A452" s="630">
        <v>7341420</v>
      </c>
      <c r="B452" s="628"/>
      <c r="C452" s="623"/>
      <c r="D452" s="623"/>
      <c r="E452" s="627" t="s">
        <v>1146</v>
      </c>
      <c r="F452" s="631" t="s">
        <v>1353</v>
      </c>
      <c r="G452" s="661">
        <v>734</v>
      </c>
      <c r="H452" s="633">
        <v>1420</v>
      </c>
      <c r="I452" s="618"/>
      <c r="J452" s="619" t="s">
        <v>1146</v>
      </c>
      <c r="K452" s="618"/>
      <c r="L452" s="619">
        <v>131</v>
      </c>
      <c r="M452" s="620">
        <v>122</v>
      </c>
      <c r="N452" s="619"/>
      <c r="O452" s="619">
        <v>10</v>
      </c>
      <c r="P452" s="619" t="s">
        <v>760</v>
      </c>
      <c r="Q452" s="662"/>
      <c r="R452" s="618"/>
      <c r="S452" s="621" t="s">
        <v>1333</v>
      </c>
      <c r="T452" s="619" t="s">
        <v>1051</v>
      </c>
    </row>
    <row r="453" spans="1:20">
      <c r="A453" s="630">
        <v>7351420</v>
      </c>
      <c r="B453" s="628"/>
      <c r="C453" s="623"/>
      <c r="D453" s="623"/>
      <c r="E453" s="627" t="s">
        <v>1148</v>
      </c>
      <c r="F453" s="631" t="s">
        <v>1354</v>
      </c>
      <c r="G453" s="661">
        <v>735</v>
      </c>
      <c r="H453" s="633">
        <v>1420</v>
      </c>
      <c r="I453" s="618"/>
      <c r="J453" s="619" t="s">
        <v>1148</v>
      </c>
      <c r="K453" s="618"/>
      <c r="L453" s="619">
        <v>131</v>
      </c>
      <c r="M453" s="620">
        <v>122</v>
      </c>
      <c r="N453" s="619"/>
      <c r="O453" s="619">
        <v>10</v>
      </c>
      <c r="P453" s="619" t="s">
        <v>760</v>
      </c>
      <c r="Q453" s="662"/>
      <c r="R453" s="618"/>
      <c r="S453" s="621" t="s">
        <v>1333</v>
      </c>
      <c r="T453" s="619" t="s">
        <v>1053</v>
      </c>
    </row>
    <row r="454" spans="1:20">
      <c r="A454" s="630">
        <v>7301420</v>
      </c>
      <c r="B454" s="628"/>
      <c r="C454" s="623"/>
      <c r="D454" s="623"/>
      <c r="E454" s="627" t="s">
        <v>1150</v>
      </c>
      <c r="F454" s="631" t="s">
        <v>1355</v>
      </c>
      <c r="G454" s="661">
        <v>730</v>
      </c>
      <c r="H454" s="633">
        <v>1420</v>
      </c>
      <c r="I454" s="618"/>
      <c r="J454" s="619" t="s">
        <v>1150</v>
      </c>
      <c r="K454" s="618"/>
      <c r="L454" s="619">
        <v>131</v>
      </c>
      <c r="M454" s="620">
        <v>122</v>
      </c>
      <c r="N454" s="619"/>
      <c r="O454" s="619">
        <v>10</v>
      </c>
      <c r="P454" s="619" t="s">
        <v>760</v>
      </c>
      <c r="Q454" s="662"/>
      <c r="R454" s="618"/>
      <c r="S454" s="621" t="s">
        <v>1333</v>
      </c>
      <c r="T454" s="619" t="s">
        <v>1055</v>
      </c>
    </row>
    <row r="455" spans="1:20">
      <c r="A455" s="630">
        <v>7001420</v>
      </c>
      <c r="B455" s="628"/>
      <c r="C455" s="623"/>
      <c r="D455" s="623"/>
      <c r="E455" s="627" t="s">
        <v>1152</v>
      </c>
      <c r="F455" s="631" t="s">
        <v>1356</v>
      </c>
      <c r="G455" s="661">
        <v>700</v>
      </c>
      <c r="H455" s="633">
        <v>1420</v>
      </c>
      <c r="I455" s="618"/>
      <c r="J455" s="619" t="s">
        <v>1152</v>
      </c>
      <c r="K455" s="618"/>
      <c r="L455" s="619">
        <v>132</v>
      </c>
      <c r="M455" s="620">
        <v>123</v>
      </c>
      <c r="N455" s="619"/>
      <c r="O455" s="619">
        <v>10</v>
      </c>
      <c r="P455" s="619" t="s">
        <v>760</v>
      </c>
      <c r="Q455" s="662"/>
      <c r="R455" s="618"/>
      <c r="S455" s="621" t="s">
        <v>1333</v>
      </c>
      <c r="T455" s="619" t="s">
        <v>1057</v>
      </c>
    </row>
    <row r="456" spans="1:20">
      <c r="A456" s="622"/>
      <c r="B456" s="628"/>
      <c r="C456" s="623"/>
      <c r="D456" s="623" t="s">
        <v>854</v>
      </c>
      <c r="E456" s="627" t="s">
        <v>256</v>
      </c>
      <c r="F456" s="626"/>
      <c r="G456" s="623"/>
      <c r="H456" s="627"/>
      <c r="I456" s="618"/>
      <c r="J456" s="618"/>
      <c r="K456" s="618"/>
      <c r="L456" s="618"/>
      <c r="M456" s="618"/>
      <c r="N456" s="618"/>
      <c r="O456" s="618"/>
      <c r="P456" s="618"/>
      <c r="Q456" s="662"/>
      <c r="R456" s="618"/>
      <c r="S456" s="621"/>
      <c r="T456" s="618"/>
    </row>
    <row r="457" spans="1:20">
      <c r="A457" s="630">
        <v>8501420</v>
      </c>
      <c r="B457" s="628"/>
      <c r="C457" s="623"/>
      <c r="D457" s="623"/>
      <c r="E457" s="627" t="s">
        <v>1154</v>
      </c>
      <c r="F457" s="631" t="s">
        <v>1357</v>
      </c>
      <c r="G457" s="661">
        <v>850</v>
      </c>
      <c r="H457" s="633">
        <v>1420</v>
      </c>
      <c r="I457" s="618"/>
      <c r="J457" s="619" t="s">
        <v>1154</v>
      </c>
      <c r="K457" s="618"/>
      <c r="L457" s="619">
        <v>139</v>
      </c>
      <c r="M457" s="620">
        <v>129</v>
      </c>
      <c r="N457" s="619"/>
      <c r="O457" s="619">
        <v>10</v>
      </c>
      <c r="P457" s="619" t="s">
        <v>760</v>
      </c>
      <c r="Q457" s="662"/>
      <c r="R457" s="618"/>
      <c r="S457" s="621" t="s">
        <v>1333</v>
      </c>
      <c r="T457" s="619" t="s">
        <v>1059</v>
      </c>
    </row>
    <row r="458" spans="1:20">
      <c r="A458" s="630">
        <v>8001420</v>
      </c>
      <c r="B458" s="628"/>
      <c r="C458" s="623"/>
      <c r="D458" s="623"/>
      <c r="E458" s="627" t="s">
        <v>1156</v>
      </c>
      <c r="F458" s="631" t="s">
        <v>1358</v>
      </c>
      <c r="G458" s="661">
        <v>800</v>
      </c>
      <c r="H458" s="633">
        <v>1420</v>
      </c>
      <c r="I458" s="618"/>
      <c r="J458" s="619" t="s">
        <v>1156</v>
      </c>
      <c r="K458" s="618"/>
      <c r="L458" s="619">
        <v>139</v>
      </c>
      <c r="M458" s="620">
        <v>129</v>
      </c>
      <c r="N458" s="619"/>
      <c r="O458" s="619">
        <v>10</v>
      </c>
      <c r="P458" s="619" t="s">
        <v>760</v>
      </c>
      <c r="Q458" s="662"/>
      <c r="R458" s="618"/>
      <c r="S458" s="621" t="s">
        <v>1333</v>
      </c>
      <c r="T458" s="619" t="s">
        <v>1061</v>
      </c>
    </row>
    <row r="459" spans="1:20">
      <c r="A459" s="622"/>
      <c r="B459" s="628"/>
      <c r="C459" s="623"/>
      <c r="D459" s="623" t="s">
        <v>857</v>
      </c>
      <c r="E459" s="627" t="s">
        <v>1063</v>
      </c>
      <c r="F459" s="626"/>
      <c r="G459" s="623"/>
      <c r="H459" s="627"/>
      <c r="I459" s="618"/>
      <c r="J459" s="618"/>
      <c r="K459" s="618"/>
      <c r="L459" s="618"/>
      <c r="M459" s="618"/>
      <c r="N459" s="618"/>
      <c r="O459" s="618"/>
      <c r="P459" s="618"/>
      <c r="Q459" s="662"/>
      <c r="R459" s="618"/>
      <c r="S459" s="621"/>
      <c r="T459" s="618"/>
    </row>
    <row r="460" spans="1:20">
      <c r="A460" s="630">
        <v>2101420</v>
      </c>
      <c r="B460" s="628"/>
      <c r="C460" s="623"/>
      <c r="D460" s="623"/>
      <c r="E460" s="627" t="s">
        <v>1158</v>
      </c>
      <c r="F460" s="631" t="s">
        <v>1359</v>
      </c>
      <c r="G460" s="661">
        <v>210</v>
      </c>
      <c r="H460" s="633">
        <v>1420</v>
      </c>
      <c r="I460" s="618"/>
      <c r="J460" s="619" t="s">
        <v>1158</v>
      </c>
      <c r="K460" s="618"/>
      <c r="L460" s="619">
        <v>89</v>
      </c>
      <c r="M460" s="620">
        <v>84</v>
      </c>
      <c r="N460" s="619"/>
      <c r="O460" s="619">
        <v>10</v>
      </c>
      <c r="P460" s="619" t="s">
        <v>760</v>
      </c>
      <c r="Q460" s="662" t="s">
        <v>1002</v>
      </c>
      <c r="R460" s="618"/>
      <c r="S460" s="621" t="s">
        <v>1333</v>
      </c>
      <c r="T460" s="619" t="s">
        <v>1064</v>
      </c>
    </row>
    <row r="461" spans="1:20">
      <c r="A461" s="630">
        <v>2201420</v>
      </c>
      <c r="B461" s="628"/>
      <c r="C461" s="623"/>
      <c r="D461" s="623"/>
      <c r="E461" s="627" t="s">
        <v>1160</v>
      </c>
      <c r="F461" s="631" t="s">
        <v>1360</v>
      </c>
      <c r="G461" s="661">
        <v>220</v>
      </c>
      <c r="H461" s="633">
        <v>1420</v>
      </c>
      <c r="I461" s="618"/>
      <c r="J461" s="619" t="s">
        <v>1160</v>
      </c>
      <c r="K461" s="618"/>
      <c r="L461" s="619">
        <v>90</v>
      </c>
      <c r="M461" s="620">
        <v>85</v>
      </c>
      <c r="N461" s="619"/>
      <c r="O461" s="619">
        <v>10</v>
      </c>
      <c r="P461" s="619" t="s">
        <v>760</v>
      </c>
      <c r="Q461" s="662" t="s">
        <v>1002</v>
      </c>
      <c r="R461" s="618"/>
      <c r="S461" s="621" t="s">
        <v>1333</v>
      </c>
      <c r="T461" s="619" t="s">
        <v>1066</v>
      </c>
    </row>
    <row r="462" spans="1:20">
      <c r="A462" s="630">
        <v>2251420</v>
      </c>
      <c r="B462" s="628"/>
      <c r="C462" s="623"/>
      <c r="D462" s="623"/>
      <c r="E462" s="627" t="s">
        <v>1162</v>
      </c>
      <c r="F462" s="631" t="s">
        <v>1361</v>
      </c>
      <c r="G462" s="661">
        <v>225</v>
      </c>
      <c r="H462" s="633">
        <v>1420</v>
      </c>
      <c r="I462" s="618"/>
      <c r="J462" s="619" t="s">
        <v>1162</v>
      </c>
      <c r="K462" s="618"/>
      <c r="L462" s="619">
        <v>91</v>
      </c>
      <c r="M462" s="620">
        <v>86</v>
      </c>
      <c r="N462" s="619"/>
      <c r="O462" s="619">
        <v>10</v>
      </c>
      <c r="P462" s="619" t="s">
        <v>760</v>
      </c>
      <c r="Q462" s="662" t="s">
        <v>1002</v>
      </c>
      <c r="R462" s="618"/>
      <c r="S462" s="621" t="s">
        <v>1333</v>
      </c>
      <c r="T462" s="619" t="s">
        <v>23</v>
      </c>
    </row>
    <row r="463" spans="1:20">
      <c r="A463" s="622"/>
      <c r="B463" s="628"/>
      <c r="C463" s="623"/>
      <c r="D463" s="623"/>
      <c r="E463" s="627" t="s">
        <v>1164</v>
      </c>
      <c r="F463" s="626"/>
      <c r="G463" s="623"/>
      <c r="H463" s="627"/>
      <c r="I463" s="618"/>
      <c r="J463" s="618"/>
      <c r="K463" s="618"/>
      <c r="L463" s="618"/>
      <c r="M463" s="618"/>
      <c r="N463" s="618"/>
      <c r="O463" s="618"/>
      <c r="P463" s="618"/>
      <c r="Q463" s="662"/>
      <c r="R463" s="618"/>
      <c r="S463" s="621"/>
      <c r="T463" s="618"/>
    </row>
    <row r="464" spans="1:20">
      <c r="A464" s="630">
        <v>2311420</v>
      </c>
      <c r="B464" s="628"/>
      <c r="C464" s="623"/>
      <c r="D464" s="623"/>
      <c r="E464" s="627" t="s">
        <v>1165</v>
      </c>
      <c r="F464" s="631" t="s">
        <v>1362</v>
      </c>
      <c r="G464" s="661">
        <v>231</v>
      </c>
      <c r="H464" s="633">
        <v>1420</v>
      </c>
      <c r="I464" s="618"/>
      <c r="J464" s="619" t="s">
        <v>1165</v>
      </c>
      <c r="K464" s="618"/>
      <c r="L464" s="619">
        <v>92</v>
      </c>
      <c r="M464" s="620">
        <v>87</v>
      </c>
      <c r="N464" s="619"/>
      <c r="O464" s="619">
        <v>10</v>
      </c>
      <c r="P464" s="619" t="s">
        <v>760</v>
      </c>
      <c r="Q464" s="662" t="s">
        <v>1002</v>
      </c>
      <c r="R464" s="618"/>
      <c r="S464" s="621" t="s">
        <v>1333</v>
      </c>
      <c r="T464" s="619" t="s">
        <v>1072</v>
      </c>
    </row>
    <row r="465" spans="1:20">
      <c r="A465" s="630">
        <v>2331420</v>
      </c>
      <c r="B465" s="628"/>
      <c r="C465" s="623"/>
      <c r="D465" s="623"/>
      <c r="E465" s="627" t="s">
        <v>1167</v>
      </c>
      <c r="F465" s="631" t="s">
        <v>1363</v>
      </c>
      <c r="G465" s="661">
        <v>233</v>
      </c>
      <c r="H465" s="633">
        <v>1420</v>
      </c>
      <c r="I465" s="618"/>
      <c r="J465" s="619" t="s">
        <v>1167</v>
      </c>
      <c r="K465" s="618"/>
      <c r="L465" s="619">
        <v>92</v>
      </c>
      <c r="M465" s="620">
        <v>87</v>
      </c>
      <c r="N465" s="619"/>
      <c r="O465" s="619">
        <v>10</v>
      </c>
      <c r="P465" s="619" t="s">
        <v>760</v>
      </c>
      <c r="Q465" s="662" t="s">
        <v>1002</v>
      </c>
      <c r="R465" s="618"/>
      <c r="S465" s="621" t="s">
        <v>1333</v>
      </c>
      <c r="T465" s="619" t="s">
        <v>1169</v>
      </c>
    </row>
    <row r="466" spans="1:20">
      <c r="A466" s="630">
        <v>2391420</v>
      </c>
      <c r="B466" s="628"/>
      <c r="C466" s="623"/>
      <c r="D466" s="623"/>
      <c r="E466" s="627" t="s">
        <v>1170</v>
      </c>
      <c r="F466" s="631" t="s">
        <v>1364</v>
      </c>
      <c r="G466" s="661">
        <v>239</v>
      </c>
      <c r="H466" s="633">
        <v>1420</v>
      </c>
      <c r="I466" s="618"/>
      <c r="J466" s="619" t="s">
        <v>1170</v>
      </c>
      <c r="K466" s="618"/>
      <c r="L466" s="619">
        <v>92</v>
      </c>
      <c r="M466" s="620">
        <v>87</v>
      </c>
      <c r="N466" s="619"/>
      <c r="O466" s="619">
        <v>10</v>
      </c>
      <c r="P466" s="619" t="s">
        <v>760</v>
      </c>
      <c r="Q466" s="662" t="s">
        <v>1002</v>
      </c>
      <c r="R466" s="618"/>
      <c r="S466" s="621" t="s">
        <v>1333</v>
      </c>
      <c r="T466" s="619" t="s">
        <v>1078</v>
      </c>
    </row>
    <row r="467" spans="1:20">
      <c r="A467" s="630">
        <v>2501420</v>
      </c>
      <c r="B467" s="628"/>
      <c r="C467" s="623"/>
      <c r="D467" s="623"/>
      <c r="E467" s="627" t="s">
        <v>1172</v>
      </c>
      <c r="F467" s="631" t="s">
        <v>1365</v>
      </c>
      <c r="G467" s="661">
        <v>250</v>
      </c>
      <c r="H467" s="633">
        <v>1420</v>
      </c>
      <c r="I467" s="618"/>
      <c r="J467" s="619" t="s">
        <v>1172</v>
      </c>
      <c r="K467" s="618"/>
      <c r="L467" s="619">
        <v>93</v>
      </c>
      <c r="M467" s="620">
        <v>88</v>
      </c>
      <c r="N467" s="619"/>
      <c r="O467" s="619">
        <v>10</v>
      </c>
      <c r="P467" s="619" t="s">
        <v>760</v>
      </c>
      <c r="Q467" s="662" t="s">
        <v>1002</v>
      </c>
      <c r="R467" s="618"/>
      <c r="S467" s="621" t="s">
        <v>1333</v>
      </c>
      <c r="T467" s="619" t="s">
        <v>1079</v>
      </c>
    </row>
    <row r="468" spans="1:20">
      <c r="A468" s="630">
        <v>2601420</v>
      </c>
      <c r="B468" s="628"/>
      <c r="C468" s="623"/>
      <c r="D468" s="623"/>
      <c r="E468" s="627" t="s">
        <v>1174</v>
      </c>
      <c r="F468" s="631" t="s">
        <v>1366</v>
      </c>
      <c r="G468" s="661">
        <v>260</v>
      </c>
      <c r="H468" s="633">
        <v>1420</v>
      </c>
      <c r="I468" s="618"/>
      <c r="J468" s="619" t="s">
        <v>1174</v>
      </c>
      <c r="K468" s="618"/>
      <c r="L468" s="619">
        <v>95</v>
      </c>
      <c r="M468" s="620">
        <v>90</v>
      </c>
      <c r="N468" s="619"/>
      <c r="O468" s="619">
        <v>10</v>
      </c>
      <c r="P468" s="619" t="s">
        <v>760</v>
      </c>
      <c r="Q468" s="662" t="s">
        <v>1002</v>
      </c>
      <c r="R468" s="618"/>
      <c r="S468" s="621" t="s">
        <v>1333</v>
      </c>
      <c r="T468" s="619" t="s">
        <v>1081</v>
      </c>
    </row>
    <row r="469" spans="1:20">
      <c r="A469" s="630">
        <v>2701420</v>
      </c>
      <c r="B469" s="628"/>
      <c r="C469" s="623"/>
      <c r="D469" s="623"/>
      <c r="E469" s="627" t="s">
        <v>1176</v>
      </c>
      <c r="F469" s="631" t="s">
        <v>1367</v>
      </c>
      <c r="G469" s="661">
        <v>270</v>
      </c>
      <c r="H469" s="633">
        <v>1420</v>
      </c>
      <c r="I469" s="618"/>
      <c r="J469" s="619" t="s">
        <v>1176</v>
      </c>
      <c r="K469" s="618"/>
      <c r="L469" s="619">
        <v>94</v>
      </c>
      <c r="M469" s="620">
        <v>89</v>
      </c>
      <c r="N469" s="619"/>
      <c r="O469" s="619">
        <v>10</v>
      </c>
      <c r="P469" s="619" t="s">
        <v>760</v>
      </c>
      <c r="Q469" s="662" t="s">
        <v>1002</v>
      </c>
      <c r="R469" s="618"/>
      <c r="S469" s="621" t="s">
        <v>1333</v>
      </c>
      <c r="T469" s="619" t="s">
        <v>1083</v>
      </c>
    </row>
    <row r="470" spans="1:20">
      <c r="A470" s="630">
        <v>2811420</v>
      </c>
      <c r="B470" s="628"/>
      <c r="C470" s="623"/>
      <c r="D470" s="623"/>
      <c r="E470" s="627" t="s">
        <v>1178</v>
      </c>
      <c r="F470" s="631" t="s">
        <v>1368</v>
      </c>
      <c r="G470" s="661">
        <v>281</v>
      </c>
      <c r="H470" s="633">
        <v>1420</v>
      </c>
      <c r="I470" s="618"/>
      <c r="J470" s="619" t="s">
        <v>1178</v>
      </c>
      <c r="K470" s="618"/>
      <c r="L470" s="619">
        <v>95</v>
      </c>
      <c r="M470" s="620">
        <v>90</v>
      </c>
      <c r="N470" s="619"/>
      <c r="O470" s="619">
        <v>10</v>
      </c>
      <c r="P470" s="619" t="s">
        <v>760</v>
      </c>
      <c r="Q470" s="662" t="s">
        <v>1002</v>
      </c>
      <c r="R470" s="618"/>
      <c r="S470" s="621" t="s">
        <v>1333</v>
      </c>
      <c r="T470" s="619" t="s">
        <v>1085</v>
      </c>
    </row>
    <row r="471" spans="1:20">
      <c r="A471" s="630">
        <v>2821420</v>
      </c>
      <c r="B471" s="628"/>
      <c r="C471" s="623"/>
      <c r="D471" s="623"/>
      <c r="E471" s="627" t="s">
        <v>1180</v>
      </c>
      <c r="F471" s="631" t="s">
        <v>1369</v>
      </c>
      <c r="G471" s="661">
        <v>282</v>
      </c>
      <c r="H471" s="633">
        <v>1420</v>
      </c>
      <c r="I471" s="618"/>
      <c r="J471" s="619" t="s">
        <v>1180</v>
      </c>
      <c r="K471" s="618"/>
      <c r="L471" s="619">
        <v>95</v>
      </c>
      <c r="M471" s="620">
        <v>90</v>
      </c>
      <c r="N471" s="619"/>
      <c r="O471" s="619">
        <v>10</v>
      </c>
      <c r="P471" s="619" t="s">
        <v>760</v>
      </c>
      <c r="Q471" s="662" t="s">
        <v>1002</v>
      </c>
      <c r="R471" s="618"/>
      <c r="S471" s="621" t="s">
        <v>1333</v>
      </c>
      <c r="T471" s="619" t="s">
        <v>1087</v>
      </c>
    </row>
    <row r="472" spans="1:20">
      <c r="A472" s="630">
        <v>2901420</v>
      </c>
      <c r="B472" s="628"/>
      <c r="C472" s="623"/>
      <c r="D472" s="623"/>
      <c r="E472" s="627" t="s">
        <v>1182</v>
      </c>
      <c r="F472" s="631" t="s">
        <v>1370</v>
      </c>
      <c r="G472" s="661">
        <v>290</v>
      </c>
      <c r="H472" s="633">
        <v>1420</v>
      </c>
      <c r="I472" s="618"/>
      <c r="J472" s="619" t="s">
        <v>1182</v>
      </c>
      <c r="K472" s="618"/>
      <c r="L472" s="619">
        <v>95</v>
      </c>
      <c r="M472" s="620">
        <v>90</v>
      </c>
      <c r="N472" s="619"/>
      <c r="O472" s="619">
        <v>10</v>
      </c>
      <c r="P472" s="619" t="s">
        <v>760</v>
      </c>
      <c r="Q472" s="662" t="s">
        <v>1002</v>
      </c>
      <c r="R472" s="618"/>
      <c r="S472" s="621" t="s">
        <v>1333</v>
      </c>
      <c r="T472" s="619" t="s">
        <v>1090</v>
      </c>
    </row>
    <row r="473" spans="1:20">
      <c r="A473" s="622"/>
      <c r="B473" s="628"/>
      <c r="C473" s="629">
        <v>21</v>
      </c>
      <c r="D473" s="784" t="s">
        <v>1371</v>
      </c>
      <c r="E473" s="775"/>
      <c r="F473" s="626"/>
      <c r="G473" s="623"/>
      <c r="H473" s="627"/>
      <c r="I473" s="618"/>
      <c r="J473" s="618"/>
      <c r="K473" s="618"/>
      <c r="L473" s="618"/>
      <c r="M473" s="618"/>
      <c r="N473" s="618"/>
      <c r="O473" s="618"/>
      <c r="P473" s="618"/>
      <c r="Q473" s="662"/>
      <c r="R473" s="618"/>
      <c r="S473" s="621"/>
      <c r="T473" s="618"/>
    </row>
    <row r="474" spans="1:20">
      <c r="A474" s="622"/>
      <c r="B474" s="628"/>
      <c r="C474" s="623"/>
      <c r="D474" s="623" t="s">
        <v>756</v>
      </c>
      <c r="E474" s="627" t="s">
        <v>244</v>
      </c>
      <c r="F474" s="626"/>
      <c r="G474" s="623"/>
      <c r="H474" s="627"/>
      <c r="I474" s="618"/>
      <c r="J474" s="618"/>
      <c r="K474" s="618"/>
      <c r="L474" s="618"/>
      <c r="M474" s="618"/>
      <c r="N474" s="618"/>
      <c r="O474" s="618"/>
      <c r="P474" s="618"/>
      <c r="Q474" s="662"/>
      <c r="R474" s="618"/>
      <c r="S474" s="621"/>
      <c r="T474" s="618"/>
    </row>
    <row r="475" spans="1:20">
      <c r="A475" s="630">
        <v>1121440</v>
      </c>
      <c r="B475" s="628"/>
      <c r="C475" s="623"/>
      <c r="D475" s="623"/>
      <c r="E475" s="627" t="s">
        <v>1096</v>
      </c>
      <c r="F475" s="631" t="s">
        <v>1372</v>
      </c>
      <c r="G475" s="661">
        <v>112</v>
      </c>
      <c r="H475" s="633">
        <v>1440</v>
      </c>
      <c r="I475" s="618"/>
      <c r="J475" s="619" t="s">
        <v>1096</v>
      </c>
      <c r="K475" s="618"/>
      <c r="L475" s="619">
        <v>82</v>
      </c>
      <c r="M475" s="620">
        <v>77</v>
      </c>
      <c r="N475" s="619"/>
      <c r="O475" s="619">
        <v>10</v>
      </c>
      <c r="P475" s="619" t="s">
        <v>760</v>
      </c>
      <c r="Q475" s="662" t="s">
        <v>1002</v>
      </c>
      <c r="R475" s="618"/>
      <c r="S475" s="621" t="s">
        <v>1373</v>
      </c>
      <c r="T475" s="619" t="s">
        <v>5</v>
      </c>
    </row>
    <row r="476" spans="1:20">
      <c r="A476" s="630">
        <v>1151440</v>
      </c>
      <c r="B476" s="628"/>
      <c r="C476" s="623"/>
      <c r="D476" s="623"/>
      <c r="E476" s="627" t="s">
        <v>1099</v>
      </c>
      <c r="F476" s="631" t="s">
        <v>1374</v>
      </c>
      <c r="G476" s="661">
        <v>115</v>
      </c>
      <c r="H476" s="633">
        <v>1440</v>
      </c>
      <c r="I476" s="618"/>
      <c r="J476" s="619" t="s">
        <v>1099</v>
      </c>
      <c r="K476" s="618"/>
      <c r="L476" s="619">
        <v>86</v>
      </c>
      <c r="M476" s="620">
        <v>81</v>
      </c>
      <c r="N476" s="619"/>
      <c r="O476" s="619">
        <v>10</v>
      </c>
      <c r="P476" s="619" t="s">
        <v>760</v>
      </c>
      <c r="Q476" s="662" t="s">
        <v>1002</v>
      </c>
      <c r="R476" s="618"/>
      <c r="S476" s="621" t="s">
        <v>1373</v>
      </c>
      <c r="T476" s="619" t="s">
        <v>1101</v>
      </c>
    </row>
    <row r="477" spans="1:20">
      <c r="A477" s="630">
        <v>1231440</v>
      </c>
      <c r="B477" s="628"/>
      <c r="C477" s="623"/>
      <c r="D477" s="623"/>
      <c r="E477" s="627" t="s">
        <v>1102</v>
      </c>
      <c r="F477" s="631" t="s">
        <v>1375</v>
      </c>
      <c r="G477" s="661">
        <v>123</v>
      </c>
      <c r="H477" s="633">
        <v>1440</v>
      </c>
      <c r="I477" s="618"/>
      <c r="J477" s="619" t="s">
        <v>1102</v>
      </c>
      <c r="K477" s="618"/>
      <c r="L477" s="619">
        <v>86</v>
      </c>
      <c r="M477" s="620">
        <v>81</v>
      </c>
      <c r="N477" s="619"/>
      <c r="O477" s="619">
        <v>10</v>
      </c>
      <c r="P477" s="619" t="s">
        <v>760</v>
      </c>
      <c r="Q477" s="662" t="s">
        <v>1002</v>
      </c>
      <c r="R477" s="618"/>
      <c r="S477" s="621" t="s">
        <v>1373</v>
      </c>
      <c r="T477" s="619" t="s">
        <v>1104</v>
      </c>
    </row>
    <row r="478" spans="1:20">
      <c r="A478" s="630">
        <v>1201440</v>
      </c>
      <c r="B478" s="628"/>
      <c r="C478" s="623"/>
      <c r="D478" s="623"/>
      <c r="E478" s="627" t="s">
        <v>1105</v>
      </c>
      <c r="F478" s="631" t="s">
        <v>1376</v>
      </c>
      <c r="G478" s="661">
        <v>120</v>
      </c>
      <c r="H478" s="633">
        <v>1440</v>
      </c>
      <c r="I478" s="618"/>
      <c r="J478" s="619" t="s">
        <v>1105</v>
      </c>
      <c r="K478" s="618"/>
      <c r="L478" s="619">
        <v>86</v>
      </c>
      <c r="M478" s="620">
        <v>81</v>
      </c>
      <c r="N478" s="619"/>
      <c r="O478" s="619">
        <v>10</v>
      </c>
      <c r="P478" s="619" t="s">
        <v>760</v>
      </c>
      <c r="Q478" s="662" t="s">
        <v>1002</v>
      </c>
      <c r="R478" s="618"/>
      <c r="S478" s="621" t="s">
        <v>1373</v>
      </c>
      <c r="T478" s="619" t="s">
        <v>1107</v>
      </c>
    </row>
    <row r="479" spans="1:20">
      <c r="A479" s="630">
        <v>1001440</v>
      </c>
      <c r="B479" s="628"/>
      <c r="C479" s="623"/>
      <c r="D479" s="623"/>
      <c r="E479" s="627" t="s">
        <v>1108</v>
      </c>
      <c r="F479" s="631" t="s">
        <v>1377</v>
      </c>
      <c r="G479" s="661">
        <v>100</v>
      </c>
      <c r="H479" s="633">
        <v>1440</v>
      </c>
      <c r="I479" s="618"/>
      <c r="J479" s="619" t="s">
        <v>1108</v>
      </c>
      <c r="K479" s="618"/>
      <c r="L479" s="619">
        <v>86</v>
      </c>
      <c r="M479" s="620">
        <v>81</v>
      </c>
      <c r="N479" s="619"/>
      <c r="O479" s="619">
        <v>10</v>
      </c>
      <c r="P479" s="619" t="s">
        <v>760</v>
      </c>
      <c r="Q479" s="662" t="s">
        <v>1002</v>
      </c>
      <c r="R479" s="618"/>
      <c r="S479" s="621" t="s">
        <v>1373</v>
      </c>
      <c r="T479" s="619" t="s">
        <v>1015</v>
      </c>
    </row>
    <row r="480" spans="1:20">
      <c r="A480" s="630">
        <v>1401440</v>
      </c>
      <c r="B480" s="670"/>
      <c r="C480" s="632"/>
      <c r="D480" s="632"/>
      <c r="E480" s="637" t="s">
        <v>1110</v>
      </c>
      <c r="F480" s="631" t="s">
        <v>1378</v>
      </c>
      <c r="G480" s="661">
        <v>140</v>
      </c>
      <c r="H480" s="633">
        <v>1440</v>
      </c>
      <c r="I480" s="618"/>
      <c r="J480" s="619" t="s">
        <v>1110</v>
      </c>
      <c r="K480" s="618"/>
      <c r="L480" s="619">
        <v>86</v>
      </c>
      <c r="M480" s="620">
        <v>81</v>
      </c>
      <c r="N480" s="619"/>
      <c r="O480" s="619">
        <v>10</v>
      </c>
      <c r="P480" s="619" t="s">
        <v>760</v>
      </c>
      <c r="Q480" s="662" t="s">
        <v>1002</v>
      </c>
      <c r="R480" s="618"/>
      <c r="S480" s="621" t="s">
        <v>1373</v>
      </c>
      <c r="T480" s="619" t="s">
        <v>1017</v>
      </c>
    </row>
    <row r="481" spans="1:20">
      <c r="A481" s="630">
        <v>3001440</v>
      </c>
      <c r="B481" s="628"/>
      <c r="C481" s="623"/>
      <c r="D481" s="623" t="s">
        <v>775</v>
      </c>
      <c r="E481" s="627" t="s">
        <v>1112</v>
      </c>
      <c r="F481" s="631" t="s">
        <v>1379</v>
      </c>
      <c r="G481" s="661">
        <v>300</v>
      </c>
      <c r="H481" s="633">
        <v>1440</v>
      </c>
      <c r="I481" s="618"/>
      <c r="J481" s="619" t="s">
        <v>1112</v>
      </c>
      <c r="K481" s="618"/>
      <c r="L481" s="619">
        <v>101</v>
      </c>
      <c r="M481" s="620">
        <v>96</v>
      </c>
      <c r="N481" s="619"/>
      <c r="O481" s="619">
        <v>10</v>
      </c>
      <c r="P481" s="619" t="s">
        <v>760</v>
      </c>
      <c r="Q481" s="662"/>
      <c r="R481" s="618"/>
      <c r="S481" s="621" t="s">
        <v>1373</v>
      </c>
      <c r="T481" s="619" t="s">
        <v>1112</v>
      </c>
    </row>
    <row r="482" spans="1:20">
      <c r="A482" s="622"/>
      <c r="B482" s="628"/>
      <c r="C482" s="623"/>
      <c r="D482" s="623" t="s">
        <v>799</v>
      </c>
      <c r="E482" s="627" t="s">
        <v>250</v>
      </c>
      <c r="F482" s="626"/>
      <c r="G482" s="623"/>
      <c r="H482" s="627"/>
      <c r="I482" s="618"/>
      <c r="J482" s="618"/>
      <c r="K482" s="618"/>
      <c r="L482" s="618"/>
      <c r="M482" s="618"/>
      <c r="N482" s="618"/>
      <c r="O482" s="618"/>
      <c r="P482" s="618"/>
      <c r="Q482" s="662"/>
      <c r="R482" s="618"/>
      <c r="S482" s="621"/>
      <c r="T482" s="618"/>
    </row>
    <row r="483" spans="1:20">
      <c r="A483" s="630">
        <v>4301440</v>
      </c>
      <c r="B483" s="628"/>
      <c r="C483" s="623"/>
      <c r="D483" s="623"/>
      <c r="E483" s="627" t="s">
        <v>1114</v>
      </c>
      <c r="F483" s="631" t="s">
        <v>1380</v>
      </c>
      <c r="G483" s="661">
        <v>430</v>
      </c>
      <c r="H483" s="633">
        <v>1440</v>
      </c>
      <c r="I483" s="618"/>
      <c r="J483" s="619" t="s">
        <v>1114</v>
      </c>
      <c r="K483" s="618"/>
      <c r="L483" s="619">
        <v>107</v>
      </c>
      <c r="M483" s="620">
        <v>102</v>
      </c>
      <c r="N483" s="619"/>
      <c r="O483" s="619">
        <v>10</v>
      </c>
      <c r="P483" s="619" t="s">
        <v>760</v>
      </c>
      <c r="Q483" s="662"/>
      <c r="R483" s="618"/>
      <c r="S483" s="621" t="s">
        <v>1373</v>
      </c>
      <c r="T483" s="619" t="s">
        <v>1021</v>
      </c>
    </row>
    <row r="484" spans="1:20">
      <c r="A484" s="630">
        <v>4421440</v>
      </c>
      <c r="B484" s="628"/>
      <c r="C484" s="623"/>
      <c r="D484" s="623"/>
      <c r="E484" s="627" t="s">
        <v>1381</v>
      </c>
      <c r="F484" s="631" t="s">
        <v>1382</v>
      </c>
      <c r="G484" s="661">
        <v>442</v>
      </c>
      <c r="H484" s="633">
        <v>1440</v>
      </c>
      <c r="I484" s="618"/>
      <c r="J484" s="619" t="s">
        <v>1381</v>
      </c>
      <c r="K484" s="618"/>
      <c r="L484" s="619">
        <v>106</v>
      </c>
      <c r="M484" s="620">
        <v>101</v>
      </c>
      <c r="N484" s="619"/>
      <c r="O484" s="619">
        <v>10</v>
      </c>
      <c r="P484" s="619" t="s">
        <v>760</v>
      </c>
      <c r="Q484" s="662"/>
      <c r="R484" s="618"/>
      <c r="S484" s="621" t="s">
        <v>1373</v>
      </c>
      <c r="T484" s="619" t="s">
        <v>1383</v>
      </c>
    </row>
    <row r="485" spans="1:20">
      <c r="A485" s="630">
        <v>4001440</v>
      </c>
      <c r="B485" s="628"/>
      <c r="C485" s="623"/>
      <c r="D485" s="623"/>
      <c r="E485" s="627" t="s">
        <v>1118</v>
      </c>
      <c r="F485" s="631" t="s">
        <v>1384</v>
      </c>
      <c r="G485" s="661">
        <v>400</v>
      </c>
      <c r="H485" s="633">
        <v>1440</v>
      </c>
      <c r="I485" s="618"/>
      <c r="J485" s="619" t="s">
        <v>1118</v>
      </c>
      <c r="K485" s="618"/>
      <c r="L485" s="619">
        <v>108</v>
      </c>
      <c r="M485" s="620">
        <v>103</v>
      </c>
      <c r="N485" s="619"/>
      <c r="O485" s="619">
        <v>10</v>
      </c>
      <c r="P485" s="619" t="s">
        <v>760</v>
      </c>
      <c r="Q485" s="662"/>
      <c r="R485" s="618"/>
      <c r="S485" s="621" t="s">
        <v>1373</v>
      </c>
      <c r="T485" s="619" t="s">
        <v>1025</v>
      </c>
    </row>
    <row r="486" spans="1:20">
      <c r="A486" s="622"/>
      <c r="B486" s="628"/>
      <c r="C486" s="623"/>
      <c r="D486" s="623" t="s">
        <v>803</v>
      </c>
      <c r="E486" s="627" t="s">
        <v>252</v>
      </c>
      <c r="F486" s="626"/>
      <c r="G486" s="623"/>
      <c r="H486" s="627"/>
      <c r="I486" s="618"/>
      <c r="J486" s="618"/>
      <c r="K486" s="618"/>
      <c r="L486" s="618"/>
      <c r="M486" s="618"/>
      <c r="N486" s="618"/>
      <c r="O486" s="618"/>
      <c r="P486" s="618"/>
      <c r="Q486" s="662"/>
      <c r="R486" s="618"/>
      <c r="S486" s="621"/>
      <c r="T486" s="618"/>
    </row>
    <row r="487" spans="1:20">
      <c r="A487" s="630">
        <v>5231440</v>
      </c>
      <c r="B487" s="628"/>
      <c r="C487" s="623"/>
      <c r="D487" s="623"/>
      <c r="E487" s="627" t="s">
        <v>1385</v>
      </c>
      <c r="F487" s="631" t="s">
        <v>1386</v>
      </c>
      <c r="G487" s="661">
        <v>523</v>
      </c>
      <c r="H487" s="633">
        <v>1440</v>
      </c>
      <c r="I487" s="618"/>
      <c r="J487" s="619" t="s">
        <v>1385</v>
      </c>
      <c r="K487" s="618"/>
      <c r="L487" s="619">
        <v>114</v>
      </c>
      <c r="M487" s="620">
        <v>107</v>
      </c>
      <c r="N487" s="619"/>
      <c r="O487" s="619">
        <v>10</v>
      </c>
      <c r="P487" s="619" t="s">
        <v>760</v>
      </c>
      <c r="Q487" s="662"/>
      <c r="R487" s="618"/>
      <c r="S487" s="621" t="s">
        <v>1373</v>
      </c>
      <c r="T487" s="619" t="s">
        <v>1387</v>
      </c>
    </row>
    <row r="488" spans="1:20">
      <c r="A488" s="622"/>
      <c r="B488" s="628"/>
      <c r="C488" s="623"/>
      <c r="D488" s="623"/>
      <c r="E488" s="627" t="s">
        <v>1388</v>
      </c>
      <c r="F488" s="626"/>
      <c r="G488" s="623"/>
      <c r="H488" s="627"/>
      <c r="I488" s="618"/>
      <c r="J488" s="618"/>
      <c r="K488" s="618"/>
      <c r="L488" s="618"/>
      <c r="M488" s="618"/>
      <c r="N488" s="618"/>
      <c r="O488" s="618"/>
      <c r="P488" s="618"/>
      <c r="Q488" s="662"/>
      <c r="R488" s="618"/>
      <c r="S488" s="621"/>
      <c r="T488" s="618"/>
    </row>
    <row r="489" spans="1:20">
      <c r="A489" s="630">
        <v>5611440</v>
      </c>
      <c r="B489" s="628"/>
      <c r="C489" s="623"/>
      <c r="D489" s="623"/>
      <c r="E489" s="627" t="s">
        <v>1121</v>
      </c>
      <c r="F489" s="631" t="s">
        <v>1389</v>
      </c>
      <c r="G489" s="661">
        <v>561</v>
      </c>
      <c r="H489" s="633">
        <v>1440</v>
      </c>
      <c r="I489" s="618"/>
      <c r="J489" s="619" t="s">
        <v>1121</v>
      </c>
      <c r="K489" s="618"/>
      <c r="L489" s="619">
        <v>119</v>
      </c>
      <c r="M489" s="620">
        <v>110</v>
      </c>
      <c r="N489" s="619"/>
      <c r="O489" s="619">
        <v>10</v>
      </c>
      <c r="P489" s="619" t="s">
        <v>760</v>
      </c>
      <c r="Q489" s="662"/>
      <c r="R489" s="618"/>
      <c r="S489" s="621" t="s">
        <v>1373</v>
      </c>
      <c r="T489" s="619" t="s">
        <v>1030</v>
      </c>
    </row>
    <row r="490" spans="1:20">
      <c r="A490" s="630">
        <v>5621440</v>
      </c>
      <c r="B490" s="628"/>
      <c r="C490" s="623"/>
      <c r="D490" s="623"/>
      <c r="E490" s="627" t="s">
        <v>1123</v>
      </c>
      <c r="F490" s="631" t="s">
        <v>1390</v>
      </c>
      <c r="G490" s="661">
        <v>562</v>
      </c>
      <c r="H490" s="633">
        <v>1440</v>
      </c>
      <c r="I490" s="618"/>
      <c r="J490" s="619" t="s">
        <v>1123</v>
      </c>
      <c r="K490" s="618"/>
      <c r="L490" s="619">
        <v>119</v>
      </c>
      <c r="M490" s="620">
        <v>110</v>
      </c>
      <c r="N490" s="619"/>
      <c r="O490" s="619">
        <v>10</v>
      </c>
      <c r="P490" s="619" t="s">
        <v>760</v>
      </c>
      <c r="Q490" s="662"/>
      <c r="R490" s="618"/>
      <c r="S490" s="621" t="s">
        <v>1373</v>
      </c>
      <c r="T490" s="619" t="s">
        <v>1033</v>
      </c>
    </row>
    <row r="491" spans="1:20">
      <c r="A491" s="630">
        <v>5631440</v>
      </c>
      <c r="B491" s="628"/>
      <c r="C491" s="623"/>
      <c r="D491" s="623"/>
      <c r="E491" s="627" t="s">
        <v>1304</v>
      </c>
      <c r="F491" s="631" t="s">
        <v>1391</v>
      </c>
      <c r="G491" s="661">
        <v>563</v>
      </c>
      <c r="H491" s="633">
        <v>1440</v>
      </c>
      <c r="I491" s="618"/>
      <c r="J491" s="619" t="s">
        <v>1304</v>
      </c>
      <c r="K491" s="618"/>
      <c r="L491" s="619">
        <v>119</v>
      </c>
      <c r="M491" s="620">
        <v>110</v>
      </c>
      <c r="N491" s="619"/>
      <c r="O491" s="619">
        <v>10</v>
      </c>
      <c r="P491" s="619" t="s">
        <v>760</v>
      </c>
      <c r="Q491" s="662"/>
      <c r="R491" s="618"/>
      <c r="S491" s="621" t="s">
        <v>1373</v>
      </c>
      <c r="T491" s="619" t="s">
        <v>1036</v>
      </c>
    </row>
    <row r="492" spans="1:20">
      <c r="A492" s="630">
        <v>5821440</v>
      </c>
      <c r="B492" s="628"/>
      <c r="C492" s="623"/>
      <c r="D492" s="623"/>
      <c r="E492" s="627" t="s">
        <v>1392</v>
      </c>
      <c r="F492" s="631" t="s">
        <v>1393</v>
      </c>
      <c r="G492" s="661">
        <v>582</v>
      </c>
      <c r="H492" s="633">
        <v>1440</v>
      </c>
      <c r="I492" s="618"/>
      <c r="J492" s="619" t="s">
        <v>1392</v>
      </c>
      <c r="K492" s="618"/>
      <c r="L492" s="619">
        <v>118</v>
      </c>
      <c r="M492" s="620">
        <v>109</v>
      </c>
      <c r="N492" s="619"/>
      <c r="O492" s="619">
        <v>10</v>
      </c>
      <c r="P492" s="619" t="s">
        <v>760</v>
      </c>
      <c r="Q492" s="662"/>
      <c r="R492" s="618"/>
      <c r="S492" s="621" t="s">
        <v>1373</v>
      </c>
      <c r="T492" s="619" t="s">
        <v>1037</v>
      </c>
    </row>
    <row r="493" spans="1:20">
      <c r="A493" s="630">
        <v>5001440</v>
      </c>
      <c r="B493" s="628"/>
      <c r="C493" s="623"/>
      <c r="D493" s="623"/>
      <c r="E493" s="627" t="s">
        <v>1394</v>
      </c>
      <c r="F493" s="631" t="s">
        <v>1395</v>
      </c>
      <c r="G493" s="661">
        <v>500</v>
      </c>
      <c r="H493" s="633">
        <v>1440</v>
      </c>
      <c r="I493" s="618"/>
      <c r="J493" s="619" t="s">
        <v>1394</v>
      </c>
      <c r="K493" s="618"/>
      <c r="L493" s="619">
        <v>119</v>
      </c>
      <c r="M493" s="620">
        <v>110</v>
      </c>
      <c r="N493" s="619"/>
      <c r="O493" s="619">
        <v>10</v>
      </c>
      <c r="P493" s="619" t="s">
        <v>760</v>
      </c>
      <c r="Q493" s="662"/>
      <c r="R493" s="618"/>
      <c r="S493" s="621" t="s">
        <v>1373</v>
      </c>
      <c r="T493" s="619" t="s">
        <v>252</v>
      </c>
    </row>
    <row r="494" spans="1:20">
      <c r="A494" s="622"/>
      <c r="B494" s="628"/>
      <c r="C494" s="623"/>
      <c r="D494" s="623" t="s">
        <v>848</v>
      </c>
      <c r="E494" s="627" t="s">
        <v>1040</v>
      </c>
      <c r="F494" s="626"/>
      <c r="G494" s="623"/>
      <c r="H494" s="627"/>
      <c r="I494" s="618"/>
      <c r="J494" s="618"/>
      <c r="K494" s="618"/>
      <c r="L494" s="618"/>
      <c r="M494" s="618"/>
      <c r="N494" s="618"/>
      <c r="O494" s="618"/>
      <c r="P494" s="618"/>
      <c r="Q494" s="662"/>
      <c r="R494" s="618"/>
      <c r="S494" s="621"/>
      <c r="T494" s="618"/>
    </row>
    <row r="495" spans="1:20">
      <c r="A495" s="630">
        <v>6151440</v>
      </c>
      <c r="B495" s="628"/>
      <c r="C495" s="623"/>
      <c r="D495" s="623"/>
      <c r="E495" s="627" t="s">
        <v>1138</v>
      </c>
      <c r="F495" s="631" t="s">
        <v>1396</v>
      </c>
      <c r="G495" s="661">
        <v>615</v>
      </c>
      <c r="H495" s="633">
        <v>1440</v>
      </c>
      <c r="I495" s="618"/>
      <c r="J495" s="619" t="s">
        <v>1138</v>
      </c>
      <c r="K495" s="618"/>
      <c r="L495" s="619">
        <v>126</v>
      </c>
      <c r="M495" s="620">
        <v>117</v>
      </c>
      <c r="N495" s="619"/>
      <c r="O495" s="619">
        <v>10</v>
      </c>
      <c r="P495" s="619" t="s">
        <v>760</v>
      </c>
      <c r="Q495" s="662" t="s">
        <v>1043</v>
      </c>
      <c r="R495" s="618"/>
      <c r="S495" s="621" t="s">
        <v>1373</v>
      </c>
      <c r="T495" s="619" t="s">
        <v>1041</v>
      </c>
    </row>
    <row r="496" spans="1:20">
      <c r="A496" s="630">
        <v>6101440</v>
      </c>
      <c r="B496" s="628"/>
      <c r="C496" s="623"/>
      <c r="D496" s="623"/>
      <c r="E496" s="627" t="s">
        <v>1140</v>
      </c>
      <c r="F496" s="631" t="s">
        <v>1397</v>
      </c>
      <c r="G496" s="661">
        <v>610</v>
      </c>
      <c r="H496" s="633">
        <v>1440</v>
      </c>
      <c r="I496" s="618"/>
      <c r="J496" s="619" t="s">
        <v>1140</v>
      </c>
      <c r="K496" s="618"/>
      <c r="L496" s="619">
        <v>122</v>
      </c>
      <c r="M496" s="620">
        <v>113</v>
      </c>
      <c r="N496" s="619"/>
      <c r="O496" s="619">
        <v>10</v>
      </c>
      <c r="P496" s="619" t="s">
        <v>760</v>
      </c>
      <c r="Q496" s="662" t="s">
        <v>1043</v>
      </c>
      <c r="R496" s="618"/>
      <c r="S496" s="621" t="s">
        <v>1373</v>
      </c>
      <c r="T496" s="619" t="s">
        <v>39</v>
      </c>
    </row>
    <row r="497" spans="1:20">
      <c r="A497" s="630">
        <v>6261440</v>
      </c>
      <c r="B497" s="628"/>
      <c r="C497" s="623"/>
      <c r="D497" s="623"/>
      <c r="E497" s="627" t="s">
        <v>1398</v>
      </c>
      <c r="F497" s="631" t="s">
        <v>1399</v>
      </c>
      <c r="G497" s="661">
        <v>626</v>
      </c>
      <c r="H497" s="633">
        <v>1440</v>
      </c>
      <c r="I497" s="618"/>
      <c r="J497" s="619" t="s">
        <v>1398</v>
      </c>
      <c r="K497" s="618"/>
      <c r="L497" s="619">
        <v>123</v>
      </c>
      <c r="M497" s="620">
        <v>114</v>
      </c>
      <c r="N497" s="619"/>
      <c r="O497" s="619">
        <v>10</v>
      </c>
      <c r="P497" s="619" t="s">
        <v>760</v>
      </c>
      <c r="Q497" s="662" t="s">
        <v>1043</v>
      </c>
      <c r="R497" s="618"/>
      <c r="S497" s="621" t="s">
        <v>1373</v>
      </c>
      <c r="T497" s="619" t="s">
        <v>1400</v>
      </c>
    </row>
    <row r="498" spans="1:20">
      <c r="A498" s="630">
        <v>6421440</v>
      </c>
      <c r="B498" s="628"/>
      <c r="C498" s="623"/>
      <c r="D498" s="623"/>
      <c r="E498" s="627" t="s">
        <v>1401</v>
      </c>
      <c r="F498" s="631" t="s">
        <v>1402</v>
      </c>
      <c r="G498" s="661">
        <v>642</v>
      </c>
      <c r="H498" s="633">
        <v>1440</v>
      </c>
      <c r="I498" s="618"/>
      <c r="J498" s="619" t="s">
        <v>1401</v>
      </c>
      <c r="K498" s="618"/>
      <c r="L498" s="619">
        <v>125</v>
      </c>
      <c r="M498" s="620">
        <v>116</v>
      </c>
      <c r="N498" s="619"/>
      <c r="O498" s="619">
        <v>10</v>
      </c>
      <c r="P498" s="619" t="s">
        <v>760</v>
      </c>
      <c r="Q498" s="662" t="s">
        <v>1043</v>
      </c>
      <c r="R498" s="618"/>
      <c r="S498" s="621" t="s">
        <v>1373</v>
      </c>
      <c r="T498" s="619" t="s">
        <v>1046</v>
      </c>
    </row>
    <row r="499" spans="1:20">
      <c r="A499" s="630">
        <v>6001440</v>
      </c>
      <c r="B499" s="628"/>
      <c r="C499" s="623"/>
      <c r="D499" s="623"/>
      <c r="E499" s="627" t="s">
        <v>1403</v>
      </c>
      <c r="F499" s="631" t="s">
        <v>1404</v>
      </c>
      <c r="G499" s="661">
        <v>600</v>
      </c>
      <c r="H499" s="633">
        <v>1440</v>
      </c>
      <c r="I499" s="618"/>
      <c r="J499" s="619" t="s">
        <v>1403</v>
      </c>
      <c r="K499" s="618"/>
      <c r="L499" s="619">
        <v>126</v>
      </c>
      <c r="M499" s="620">
        <v>117</v>
      </c>
      <c r="N499" s="619"/>
      <c r="O499" s="619">
        <v>10</v>
      </c>
      <c r="P499" s="619" t="s">
        <v>760</v>
      </c>
      <c r="Q499" s="662"/>
      <c r="R499" s="618"/>
      <c r="S499" s="621" t="s">
        <v>1373</v>
      </c>
      <c r="T499" s="619" t="s">
        <v>1048</v>
      </c>
    </row>
    <row r="500" spans="1:20">
      <c r="A500" s="622"/>
      <c r="B500" s="628"/>
      <c r="C500" s="623"/>
      <c r="D500" s="623" t="s">
        <v>851</v>
      </c>
      <c r="E500" s="627" t="s">
        <v>1050</v>
      </c>
      <c r="F500" s="626"/>
      <c r="G500" s="623"/>
      <c r="H500" s="627"/>
      <c r="I500" s="618"/>
      <c r="J500" s="618"/>
      <c r="K500" s="618"/>
      <c r="L500" s="618"/>
      <c r="M500" s="618"/>
      <c r="N500" s="618"/>
      <c r="O500" s="618"/>
      <c r="P500" s="618"/>
      <c r="Q500" s="662"/>
      <c r="R500" s="618"/>
      <c r="S500" s="621"/>
      <c r="T500" s="618"/>
    </row>
    <row r="501" spans="1:20">
      <c r="A501" s="630">
        <v>7341440</v>
      </c>
      <c r="B501" s="628"/>
      <c r="C501" s="623"/>
      <c r="D501" s="623"/>
      <c r="E501" s="627" t="s">
        <v>1146</v>
      </c>
      <c r="F501" s="631" t="s">
        <v>1405</v>
      </c>
      <c r="G501" s="661">
        <v>734</v>
      </c>
      <c r="H501" s="633">
        <v>1440</v>
      </c>
      <c r="I501" s="618"/>
      <c r="J501" s="619" t="s">
        <v>1146</v>
      </c>
      <c r="K501" s="618"/>
      <c r="L501" s="619">
        <v>131</v>
      </c>
      <c r="M501" s="620">
        <v>122</v>
      </c>
      <c r="N501" s="619"/>
      <c r="O501" s="619">
        <v>10</v>
      </c>
      <c r="P501" s="619" t="s">
        <v>760</v>
      </c>
      <c r="Q501" s="662"/>
      <c r="R501" s="618"/>
      <c r="S501" s="621" t="s">
        <v>1373</v>
      </c>
      <c r="T501" s="619" t="s">
        <v>1051</v>
      </c>
    </row>
    <row r="502" spans="1:20">
      <c r="A502" s="630">
        <v>7351440</v>
      </c>
      <c r="B502" s="628"/>
      <c r="C502" s="623"/>
      <c r="D502" s="623"/>
      <c r="E502" s="627" t="s">
        <v>1148</v>
      </c>
      <c r="F502" s="631" t="s">
        <v>1406</v>
      </c>
      <c r="G502" s="661">
        <v>735</v>
      </c>
      <c r="H502" s="633">
        <v>1440</v>
      </c>
      <c r="I502" s="618"/>
      <c r="J502" s="619" t="s">
        <v>1148</v>
      </c>
      <c r="K502" s="618"/>
      <c r="L502" s="619">
        <v>131</v>
      </c>
      <c r="M502" s="620">
        <v>122</v>
      </c>
      <c r="N502" s="619"/>
      <c r="O502" s="619">
        <v>10</v>
      </c>
      <c r="P502" s="619" t="s">
        <v>760</v>
      </c>
      <c r="Q502" s="662"/>
      <c r="R502" s="618"/>
      <c r="S502" s="621" t="s">
        <v>1373</v>
      </c>
      <c r="T502" s="619" t="s">
        <v>1053</v>
      </c>
    </row>
    <row r="503" spans="1:20">
      <c r="A503" s="630">
        <v>7301440</v>
      </c>
      <c r="B503" s="628"/>
      <c r="C503" s="623"/>
      <c r="D503" s="623"/>
      <c r="E503" s="627" t="s">
        <v>1407</v>
      </c>
      <c r="F503" s="631" t="s">
        <v>1408</v>
      </c>
      <c r="G503" s="661">
        <v>730</v>
      </c>
      <c r="H503" s="633">
        <v>1440</v>
      </c>
      <c r="I503" s="618"/>
      <c r="J503" s="619" t="s">
        <v>1407</v>
      </c>
      <c r="K503" s="618"/>
      <c r="L503" s="619">
        <v>131</v>
      </c>
      <c r="M503" s="620">
        <v>122</v>
      </c>
      <c r="N503" s="619"/>
      <c r="O503" s="619">
        <v>10</v>
      </c>
      <c r="P503" s="619" t="s">
        <v>760</v>
      </c>
      <c r="Q503" s="662"/>
      <c r="R503" s="618"/>
      <c r="S503" s="621" t="s">
        <v>1373</v>
      </c>
      <c r="T503" s="619" t="s">
        <v>1055</v>
      </c>
    </row>
    <row r="504" spans="1:20">
      <c r="A504" s="630">
        <v>7001440</v>
      </c>
      <c r="B504" s="628"/>
      <c r="C504" s="623"/>
      <c r="D504" s="623"/>
      <c r="E504" s="627" t="s">
        <v>1152</v>
      </c>
      <c r="F504" s="631" t="s">
        <v>1409</v>
      </c>
      <c r="G504" s="661">
        <v>700</v>
      </c>
      <c r="H504" s="633">
        <v>1440</v>
      </c>
      <c r="I504" s="618"/>
      <c r="J504" s="619" t="s">
        <v>1152</v>
      </c>
      <c r="K504" s="618"/>
      <c r="L504" s="619">
        <v>132</v>
      </c>
      <c r="M504" s="620">
        <v>123</v>
      </c>
      <c r="N504" s="619"/>
      <c r="O504" s="619">
        <v>10</v>
      </c>
      <c r="P504" s="619" t="s">
        <v>760</v>
      </c>
      <c r="Q504" s="662"/>
      <c r="R504" s="618"/>
      <c r="S504" s="621" t="s">
        <v>1373</v>
      </c>
      <c r="T504" s="619" t="s">
        <v>1057</v>
      </c>
    </row>
    <row r="505" spans="1:20">
      <c r="A505" s="622"/>
      <c r="B505" s="628"/>
      <c r="C505" s="623"/>
      <c r="D505" s="623" t="s">
        <v>854</v>
      </c>
      <c r="E505" s="627" t="s">
        <v>256</v>
      </c>
      <c r="F505" s="626"/>
      <c r="G505" s="623"/>
      <c r="H505" s="627"/>
      <c r="I505" s="618"/>
      <c r="J505" s="618"/>
      <c r="K505" s="618"/>
      <c r="L505" s="618"/>
      <c r="M505" s="618"/>
      <c r="N505" s="618"/>
      <c r="O505" s="618"/>
      <c r="P505" s="618"/>
      <c r="Q505" s="662"/>
      <c r="R505" s="618"/>
      <c r="S505" s="621"/>
      <c r="T505" s="618"/>
    </row>
    <row r="506" spans="1:20">
      <c r="A506" s="630">
        <v>8951440</v>
      </c>
      <c r="B506" s="628"/>
      <c r="C506" s="623"/>
      <c r="D506" s="623"/>
      <c r="E506" s="627" t="s">
        <v>1154</v>
      </c>
      <c r="F506" s="634" t="s">
        <v>1410</v>
      </c>
      <c r="G506" s="629">
        <v>895</v>
      </c>
      <c r="H506" s="635">
        <v>1440</v>
      </c>
      <c r="I506" s="618"/>
      <c r="J506" s="619" t="s">
        <v>1154</v>
      </c>
      <c r="K506" s="618"/>
      <c r="L506" s="619">
        <v>139</v>
      </c>
      <c r="M506" s="620">
        <v>129</v>
      </c>
      <c r="N506" s="619"/>
      <c r="O506" s="619">
        <v>10</v>
      </c>
      <c r="P506" s="619" t="s">
        <v>760</v>
      </c>
      <c r="Q506" s="662"/>
      <c r="R506" s="618"/>
      <c r="S506" s="621" t="s">
        <v>1373</v>
      </c>
      <c r="T506" s="619" t="s">
        <v>1059</v>
      </c>
    </row>
    <row r="507" spans="1:20">
      <c r="A507" s="630">
        <v>8001440</v>
      </c>
      <c r="B507" s="628"/>
      <c r="C507" s="623"/>
      <c r="D507" s="623"/>
      <c r="E507" s="627" t="s">
        <v>1156</v>
      </c>
      <c r="F507" s="634" t="s">
        <v>1411</v>
      </c>
      <c r="G507" s="629">
        <v>800</v>
      </c>
      <c r="H507" s="635">
        <v>1440</v>
      </c>
      <c r="I507" s="618"/>
      <c r="J507" s="619" t="s">
        <v>1156</v>
      </c>
      <c r="K507" s="618"/>
      <c r="L507" s="619">
        <v>139</v>
      </c>
      <c r="M507" s="620">
        <v>129</v>
      </c>
      <c r="N507" s="619"/>
      <c r="O507" s="619">
        <v>10</v>
      </c>
      <c r="P507" s="619" t="s">
        <v>760</v>
      </c>
      <c r="Q507" s="662"/>
      <c r="R507" s="618"/>
      <c r="S507" s="621" t="s">
        <v>1373</v>
      </c>
      <c r="T507" s="619" t="s">
        <v>1061</v>
      </c>
    </row>
    <row r="508" spans="1:20">
      <c r="A508" s="622"/>
      <c r="B508" s="628"/>
      <c r="C508" s="623"/>
      <c r="D508" s="623" t="s">
        <v>857</v>
      </c>
      <c r="E508" s="627" t="s">
        <v>1063</v>
      </c>
      <c r="F508" s="626"/>
      <c r="G508" s="623"/>
      <c r="H508" s="627"/>
      <c r="I508" s="618"/>
      <c r="J508" s="618"/>
      <c r="K508" s="618"/>
      <c r="L508" s="618"/>
      <c r="M508" s="618"/>
      <c r="N508" s="618"/>
      <c r="O508" s="618"/>
      <c r="P508" s="618"/>
      <c r="Q508" s="662"/>
      <c r="R508" s="618"/>
      <c r="S508" s="621"/>
      <c r="T508" s="618"/>
    </row>
    <row r="509" spans="1:20">
      <c r="A509" s="630">
        <v>2101440</v>
      </c>
      <c r="B509" s="628"/>
      <c r="C509" s="623"/>
      <c r="D509" s="623"/>
      <c r="E509" s="627" t="s">
        <v>1158</v>
      </c>
      <c r="F509" s="634" t="s">
        <v>1412</v>
      </c>
      <c r="G509" s="629">
        <v>210</v>
      </c>
      <c r="H509" s="635">
        <v>1440</v>
      </c>
      <c r="I509" s="618"/>
      <c r="J509" s="619" t="s">
        <v>1158</v>
      </c>
      <c r="K509" s="618"/>
      <c r="L509" s="619">
        <v>89</v>
      </c>
      <c r="M509" s="620">
        <v>84</v>
      </c>
      <c r="N509" s="619"/>
      <c r="O509" s="619">
        <v>10</v>
      </c>
      <c r="P509" s="619" t="s">
        <v>760</v>
      </c>
      <c r="Q509" s="662" t="s">
        <v>1002</v>
      </c>
      <c r="R509" s="618"/>
      <c r="S509" s="621" t="s">
        <v>1373</v>
      </c>
      <c r="T509" s="619" t="s">
        <v>1064</v>
      </c>
    </row>
    <row r="510" spans="1:20">
      <c r="A510" s="630">
        <v>2201440</v>
      </c>
      <c r="B510" s="628"/>
      <c r="C510" s="623"/>
      <c r="D510" s="623"/>
      <c r="E510" s="627" t="s">
        <v>1160</v>
      </c>
      <c r="F510" s="634" t="s">
        <v>1413</v>
      </c>
      <c r="G510" s="629">
        <v>220</v>
      </c>
      <c r="H510" s="635">
        <v>1440</v>
      </c>
      <c r="I510" s="618"/>
      <c r="J510" s="619" t="s">
        <v>1160</v>
      </c>
      <c r="K510" s="618"/>
      <c r="L510" s="619">
        <v>90</v>
      </c>
      <c r="M510" s="620">
        <v>85</v>
      </c>
      <c r="N510" s="619"/>
      <c r="O510" s="619">
        <v>10</v>
      </c>
      <c r="P510" s="619" t="s">
        <v>760</v>
      </c>
      <c r="Q510" s="662" t="s">
        <v>1002</v>
      </c>
      <c r="R510" s="618"/>
      <c r="S510" s="621" t="s">
        <v>1373</v>
      </c>
      <c r="T510" s="619" t="s">
        <v>1066</v>
      </c>
    </row>
    <row r="511" spans="1:20">
      <c r="A511" s="630">
        <v>2251440</v>
      </c>
      <c r="B511" s="628"/>
      <c r="C511" s="623"/>
      <c r="D511" s="623"/>
      <c r="E511" s="627" t="s">
        <v>1162</v>
      </c>
      <c r="F511" s="634" t="s">
        <v>1414</v>
      </c>
      <c r="G511" s="629">
        <v>225</v>
      </c>
      <c r="H511" s="635">
        <v>1440</v>
      </c>
      <c r="I511" s="618"/>
      <c r="J511" s="619" t="s">
        <v>1162</v>
      </c>
      <c r="K511" s="618"/>
      <c r="L511" s="619">
        <v>91</v>
      </c>
      <c r="M511" s="620">
        <v>86</v>
      </c>
      <c r="N511" s="619"/>
      <c r="O511" s="619">
        <v>10</v>
      </c>
      <c r="P511" s="619" t="s">
        <v>760</v>
      </c>
      <c r="Q511" s="662" t="s">
        <v>1002</v>
      </c>
      <c r="R511" s="618"/>
      <c r="S511" s="621" t="s">
        <v>1373</v>
      </c>
      <c r="T511" s="619" t="s">
        <v>23</v>
      </c>
    </row>
    <row r="512" spans="1:20">
      <c r="A512" s="622"/>
      <c r="B512" s="628"/>
      <c r="C512" s="623"/>
      <c r="D512" s="623"/>
      <c r="E512" s="627" t="s">
        <v>1164</v>
      </c>
      <c r="F512" s="626"/>
      <c r="G512" s="623"/>
      <c r="H512" s="627"/>
      <c r="I512" s="618"/>
      <c r="J512" s="618"/>
      <c r="K512" s="618"/>
      <c r="L512" s="618"/>
      <c r="M512" s="618"/>
      <c r="N512" s="618"/>
      <c r="O512" s="618"/>
      <c r="P512" s="618"/>
      <c r="Q512" s="662"/>
      <c r="R512" s="618"/>
      <c r="S512" s="621"/>
      <c r="T512" s="618"/>
    </row>
    <row r="513" spans="1:20">
      <c r="A513" s="630">
        <v>2311440</v>
      </c>
      <c r="B513" s="628"/>
      <c r="C513" s="623"/>
      <c r="D513" s="623"/>
      <c r="E513" s="627" t="s">
        <v>1165</v>
      </c>
      <c r="F513" s="634" t="s">
        <v>1415</v>
      </c>
      <c r="G513" s="629">
        <v>231</v>
      </c>
      <c r="H513" s="635">
        <v>1440</v>
      </c>
      <c r="I513" s="618"/>
      <c r="J513" s="619" t="s">
        <v>1165</v>
      </c>
      <c r="K513" s="618"/>
      <c r="L513" s="619">
        <v>92</v>
      </c>
      <c r="M513" s="620">
        <v>87</v>
      </c>
      <c r="N513" s="619"/>
      <c r="O513" s="619">
        <v>10</v>
      </c>
      <c r="P513" s="619" t="s">
        <v>760</v>
      </c>
      <c r="Q513" s="662" t="s">
        <v>1002</v>
      </c>
      <c r="R513" s="618"/>
      <c r="S513" s="621" t="s">
        <v>1373</v>
      </c>
      <c r="T513" s="619" t="s">
        <v>1072</v>
      </c>
    </row>
    <row r="514" spans="1:20">
      <c r="A514" s="630">
        <v>2331440</v>
      </c>
      <c r="B514" s="628"/>
      <c r="C514" s="623"/>
      <c r="D514" s="623"/>
      <c r="E514" s="627" t="s">
        <v>1167</v>
      </c>
      <c r="F514" s="634" t="s">
        <v>1416</v>
      </c>
      <c r="G514" s="629">
        <v>233</v>
      </c>
      <c r="H514" s="635">
        <v>1440</v>
      </c>
      <c r="I514" s="618"/>
      <c r="J514" s="619" t="s">
        <v>1167</v>
      </c>
      <c r="K514" s="618"/>
      <c r="L514" s="619">
        <v>92</v>
      </c>
      <c r="M514" s="620">
        <v>87</v>
      </c>
      <c r="N514" s="619"/>
      <c r="O514" s="619">
        <v>10</v>
      </c>
      <c r="P514" s="619" t="s">
        <v>760</v>
      </c>
      <c r="Q514" s="662" t="s">
        <v>1002</v>
      </c>
      <c r="R514" s="618"/>
      <c r="S514" s="621" t="s">
        <v>1373</v>
      </c>
      <c r="T514" s="619" t="s">
        <v>1169</v>
      </c>
    </row>
    <row r="515" spans="1:20">
      <c r="A515" s="630">
        <v>2391440</v>
      </c>
      <c r="B515" s="628"/>
      <c r="C515" s="623"/>
      <c r="D515" s="623"/>
      <c r="E515" s="627" t="s">
        <v>1170</v>
      </c>
      <c r="F515" s="634" t="s">
        <v>1417</v>
      </c>
      <c r="G515" s="629">
        <v>239</v>
      </c>
      <c r="H515" s="635">
        <v>1440</v>
      </c>
      <c r="I515" s="618"/>
      <c r="J515" s="619" t="s">
        <v>1170</v>
      </c>
      <c r="K515" s="618"/>
      <c r="L515" s="619">
        <v>92</v>
      </c>
      <c r="M515" s="620">
        <v>87</v>
      </c>
      <c r="N515" s="619"/>
      <c r="O515" s="619">
        <v>10</v>
      </c>
      <c r="P515" s="619" t="s">
        <v>760</v>
      </c>
      <c r="Q515" s="662" t="s">
        <v>1002</v>
      </c>
      <c r="R515" s="618"/>
      <c r="S515" s="621" t="s">
        <v>1373</v>
      </c>
      <c r="T515" s="619" t="s">
        <v>1078</v>
      </c>
    </row>
    <row r="516" spans="1:20">
      <c r="A516" s="630">
        <v>2501440</v>
      </c>
      <c r="B516" s="628"/>
      <c r="C516" s="623"/>
      <c r="D516" s="623"/>
      <c r="E516" s="627" t="s">
        <v>1172</v>
      </c>
      <c r="F516" s="634" t="s">
        <v>1418</v>
      </c>
      <c r="G516" s="629">
        <v>250</v>
      </c>
      <c r="H516" s="635">
        <v>1440</v>
      </c>
      <c r="I516" s="618"/>
      <c r="J516" s="619" t="s">
        <v>1172</v>
      </c>
      <c r="K516" s="618"/>
      <c r="L516" s="619">
        <v>93</v>
      </c>
      <c r="M516" s="620">
        <v>88</v>
      </c>
      <c r="N516" s="619"/>
      <c r="O516" s="619">
        <v>10</v>
      </c>
      <c r="P516" s="619" t="s">
        <v>760</v>
      </c>
      <c r="Q516" s="662" t="s">
        <v>1002</v>
      </c>
      <c r="R516" s="618"/>
      <c r="S516" s="621" t="s">
        <v>1373</v>
      </c>
      <c r="T516" s="619" t="s">
        <v>1079</v>
      </c>
    </row>
    <row r="517" spans="1:20">
      <c r="A517" s="630">
        <v>2601440</v>
      </c>
      <c r="B517" s="628"/>
      <c r="C517" s="623"/>
      <c r="D517" s="623"/>
      <c r="E517" s="627" t="s">
        <v>1174</v>
      </c>
      <c r="F517" s="634" t="s">
        <v>1419</v>
      </c>
      <c r="G517" s="629">
        <v>260</v>
      </c>
      <c r="H517" s="635">
        <v>1440</v>
      </c>
      <c r="I517" s="618"/>
      <c r="J517" s="619" t="s">
        <v>1174</v>
      </c>
      <c r="K517" s="618"/>
      <c r="L517" s="619">
        <v>95</v>
      </c>
      <c r="M517" s="620">
        <v>90</v>
      </c>
      <c r="N517" s="619"/>
      <c r="O517" s="619">
        <v>10</v>
      </c>
      <c r="P517" s="619" t="s">
        <v>760</v>
      </c>
      <c r="Q517" s="662" t="s">
        <v>1002</v>
      </c>
      <c r="R517" s="618"/>
      <c r="S517" s="621" t="s">
        <v>1373</v>
      </c>
      <c r="T517" s="619" t="s">
        <v>1081</v>
      </c>
    </row>
    <row r="518" spans="1:20">
      <c r="A518" s="630">
        <v>2701440</v>
      </c>
      <c r="B518" s="628"/>
      <c r="C518" s="623"/>
      <c r="D518" s="623"/>
      <c r="E518" s="627" t="s">
        <v>1176</v>
      </c>
      <c r="F518" s="634" t="s">
        <v>1420</v>
      </c>
      <c r="G518" s="629">
        <v>270</v>
      </c>
      <c r="H518" s="635">
        <v>1440</v>
      </c>
      <c r="I518" s="618"/>
      <c r="J518" s="619" t="s">
        <v>1176</v>
      </c>
      <c r="K518" s="618"/>
      <c r="L518" s="619">
        <v>94</v>
      </c>
      <c r="M518" s="620">
        <v>89</v>
      </c>
      <c r="N518" s="619"/>
      <c r="O518" s="619">
        <v>10</v>
      </c>
      <c r="P518" s="619" t="s">
        <v>760</v>
      </c>
      <c r="Q518" s="662" t="s">
        <v>1002</v>
      </c>
      <c r="R518" s="618"/>
      <c r="S518" s="621" t="s">
        <v>1373</v>
      </c>
      <c r="T518" s="619" t="s">
        <v>1083</v>
      </c>
    </row>
    <row r="519" spans="1:20">
      <c r="A519" s="630">
        <v>2811440</v>
      </c>
      <c r="B519" s="628"/>
      <c r="C519" s="623"/>
      <c r="D519" s="623"/>
      <c r="E519" s="627" t="s">
        <v>1178</v>
      </c>
      <c r="F519" s="634" t="s">
        <v>1421</v>
      </c>
      <c r="G519" s="629">
        <v>281</v>
      </c>
      <c r="H519" s="635">
        <v>1440</v>
      </c>
      <c r="I519" s="618"/>
      <c r="J519" s="619" t="s">
        <v>1178</v>
      </c>
      <c r="K519" s="618"/>
      <c r="L519" s="619">
        <v>95</v>
      </c>
      <c r="M519" s="620">
        <v>90</v>
      </c>
      <c r="N519" s="619"/>
      <c r="O519" s="619">
        <v>10</v>
      </c>
      <c r="P519" s="619" t="s">
        <v>760</v>
      </c>
      <c r="Q519" s="662" t="s">
        <v>1002</v>
      </c>
      <c r="R519" s="618"/>
      <c r="S519" s="621" t="s">
        <v>1373</v>
      </c>
      <c r="T519" s="619" t="s">
        <v>1085</v>
      </c>
    </row>
    <row r="520" spans="1:20">
      <c r="A520" s="630">
        <v>2821440</v>
      </c>
      <c r="B520" s="628"/>
      <c r="C520" s="623"/>
      <c r="D520" s="623"/>
      <c r="E520" s="627" t="s">
        <v>1180</v>
      </c>
      <c r="F520" s="634" t="s">
        <v>1422</v>
      </c>
      <c r="G520" s="629">
        <v>282</v>
      </c>
      <c r="H520" s="635">
        <v>1440</v>
      </c>
      <c r="I520" s="618"/>
      <c r="J520" s="619" t="s">
        <v>1180</v>
      </c>
      <c r="K520" s="618"/>
      <c r="L520" s="619">
        <v>95</v>
      </c>
      <c r="M520" s="620">
        <v>90</v>
      </c>
      <c r="N520" s="619"/>
      <c r="O520" s="619">
        <v>10</v>
      </c>
      <c r="P520" s="619" t="s">
        <v>760</v>
      </c>
      <c r="Q520" s="662" t="s">
        <v>1002</v>
      </c>
      <c r="R520" s="618"/>
      <c r="S520" s="621" t="s">
        <v>1373</v>
      </c>
      <c r="T520" s="619" t="s">
        <v>1087</v>
      </c>
    </row>
    <row r="521" spans="1:20">
      <c r="A521" s="630">
        <v>2901440</v>
      </c>
      <c r="B521" s="628"/>
      <c r="C521" s="623"/>
      <c r="D521" s="623"/>
      <c r="E521" s="627" t="s">
        <v>1182</v>
      </c>
      <c r="F521" s="634" t="s">
        <v>1423</v>
      </c>
      <c r="G521" s="629">
        <v>290</v>
      </c>
      <c r="H521" s="635">
        <v>1440</v>
      </c>
      <c r="I521" s="618"/>
      <c r="J521" s="619" t="s">
        <v>1182</v>
      </c>
      <c r="K521" s="618"/>
      <c r="L521" s="619">
        <v>95</v>
      </c>
      <c r="M521" s="620">
        <v>90</v>
      </c>
      <c r="N521" s="619"/>
      <c r="O521" s="619">
        <v>10</v>
      </c>
      <c r="P521" s="619" t="s">
        <v>760</v>
      </c>
      <c r="Q521" s="662" t="s">
        <v>1002</v>
      </c>
      <c r="R521" s="618"/>
      <c r="S521" s="621" t="s">
        <v>1373</v>
      </c>
      <c r="T521" s="619" t="s">
        <v>1090</v>
      </c>
    </row>
    <row r="522" spans="1:20">
      <c r="A522" s="622"/>
      <c r="B522" s="628"/>
      <c r="C522" s="629">
        <v>22</v>
      </c>
      <c r="D522" s="784" t="s">
        <v>1424</v>
      </c>
      <c r="E522" s="775"/>
      <c r="F522" s="626"/>
      <c r="G522" s="623"/>
      <c r="H522" s="627"/>
      <c r="I522" s="618"/>
      <c r="J522" s="618"/>
      <c r="K522" s="618"/>
      <c r="L522" s="618"/>
      <c r="M522" s="618"/>
      <c r="N522" s="618"/>
      <c r="O522" s="618"/>
      <c r="P522" s="618"/>
      <c r="Q522" s="662"/>
      <c r="R522" s="618"/>
      <c r="S522" s="621"/>
      <c r="T522" s="618"/>
    </row>
    <row r="523" spans="1:20">
      <c r="A523" s="622"/>
      <c r="B523" s="628"/>
      <c r="C523" s="623"/>
      <c r="D523" s="623" t="s">
        <v>756</v>
      </c>
      <c r="E523" s="627" t="s">
        <v>244</v>
      </c>
      <c r="F523" s="626"/>
      <c r="G523" s="623"/>
      <c r="H523" s="627"/>
      <c r="I523" s="618"/>
      <c r="J523" s="618"/>
      <c r="K523" s="618"/>
      <c r="L523" s="618"/>
      <c r="M523" s="618"/>
      <c r="N523" s="618"/>
      <c r="O523" s="618"/>
      <c r="P523" s="618"/>
      <c r="Q523" s="662"/>
      <c r="R523" s="618"/>
      <c r="S523" s="621"/>
      <c r="T523" s="618"/>
    </row>
    <row r="524" spans="1:20">
      <c r="A524" s="630">
        <v>1121450</v>
      </c>
      <c r="B524" s="628"/>
      <c r="C524" s="623"/>
      <c r="D524" s="623"/>
      <c r="E524" s="627" t="s">
        <v>1425</v>
      </c>
      <c r="F524" s="631" t="s">
        <v>1426</v>
      </c>
      <c r="G524" s="661">
        <v>112</v>
      </c>
      <c r="H524" s="633">
        <v>1450</v>
      </c>
      <c r="I524" s="618"/>
      <c r="J524" s="619" t="s">
        <v>1425</v>
      </c>
      <c r="K524" s="618"/>
      <c r="L524" s="619">
        <v>82</v>
      </c>
      <c r="M524" s="620">
        <v>77</v>
      </c>
      <c r="N524" s="619"/>
      <c r="O524" s="619">
        <v>10</v>
      </c>
      <c r="P524" s="619" t="s">
        <v>760</v>
      </c>
      <c r="Q524" s="662" t="s">
        <v>1002</v>
      </c>
      <c r="R524" s="618"/>
      <c r="S524" s="621" t="s">
        <v>930</v>
      </c>
      <c r="T524" s="619" t="s">
        <v>1427</v>
      </c>
    </row>
    <row r="525" spans="1:20">
      <c r="A525" s="630">
        <v>1151450</v>
      </c>
      <c r="B525" s="628"/>
      <c r="C525" s="623"/>
      <c r="D525" s="623"/>
      <c r="E525" s="627" t="s">
        <v>1099</v>
      </c>
      <c r="F525" s="631" t="s">
        <v>1428</v>
      </c>
      <c r="G525" s="661">
        <v>115</v>
      </c>
      <c r="H525" s="633">
        <v>1450</v>
      </c>
      <c r="I525" s="618"/>
      <c r="J525" s="619" t="s">
        <v>1099</v>
      </c>
      <c r="K525" s="618"/>
      <c r="L525" s="619">
        <v>86</v>
      </c>
      <c r="M525" s="620">
        <v>81</v>
      </c>
      <c r="N525" s="619"/>
      <c r="O525" s="619">
        <v>10</v>
      </c>
      <c r="P525" s="619" t="s">
        <v>760</v>
      </c>
      <c r="Q525" s="662" t="s">
        <v>1002</v>
      </c>
      <c r="R525" s="618"/>
      <c r="S525" s="621" t="s">
        <v>930</v>
      </c>
      <c r="T525" s="619" t="s">
        <v>1101</v>
      </c>
    </row>
    <row r="526" spans="1:20">
      <c r="A526" s="630">
        <v>1231450</v>
      </c>
      <c r="B526" s="628"/>
      <c r="C526" s="623"/>
      <c r="D526" s="623"/>
      <c r="E526" s="627" t="s">
        <v>1102</v>
      </c>
      <c r="F526" s="631" t="s">
        <v>1429</v>
      </c>
      <c r="G526" s="661">
        <v>123</v>
      </c>
      <c r="H526" s="633">
        <v>1450</v>
      </c>
      <c r="I526" s="618"/>
      <c r="J526" s="619" t="s">
        <v>1102</v>
      </c>
      <c r="K526" s="618"/>
      <c r="L526" s="619">
        <v>86</v>
      </c>
      <c r="M526" s="620">
        <v>81</v>
      </c>
      <c r="N526" s="619"/>
      <c r="O526" s="619">
        <v>10</v>
      </c>
      <c r="P526" s="619" t="s">
        <v>760</v>
      </c>
      <c r="Q526" s="662" t="s">
        <v>1002</v>
      </c>
      <c r="R526" s="618"/>
      <c r="S526" s="621" t="s">
        <v>930</v>
      </c>
      <c r="T526" s="619" t="s">
        <v>1104</v>
      </c>
    </row>
    <row r="527" spans="1:20">
      <c r="A527" s="630">
        <v>1201450</v>
      </c>
      <c r="B527" s="628"/>
      <c r="C527" s="623"/>
      <c r="D527" s="623"/>
      <c r="E527" s="627" t="s">
        <v>1105</v>
      </c>
      <c r="F527" s="631" t="s">
        <v>1430</v>
      </c>
      <c r="G527" s="661">
        <v>120</v>
      </c>
      <c r="H527" s="633">
        <v>1450</v>
      </c>
      <c r="I527" s="618"/>
      <c r="J527" s="619" t="s">
        <v>1105</v>
      </c>
      <c r="K527" s="618"/>
      <c r="L527" s="619">
        <v>86</v>
      </c>
      <c r="M527" s="620">
        <v>81</v>
      </c>
      <c r="N527" s="619"/>
      <c r="O527" s="619">
        <v>10</v>
      </c>
      <c r="P527" s="619" t="s">
        <v>760</v>
      </c>
      <c r="Q527" s="662" t="s">
        <v>1002</v>
      </c>
      <c r="R527" s="618"/>
      <c r="S527" s="621" t="s">
        <v>930</v>
      </c>
      <c r="T527" s="619" t="s">
        <v>1107</v>
      </c>
    </row>
    <row r="528" spans="1:20">
      <c r="A528" s="630">
        <v>1001450</v>
      </c>
      <c r="B528" s="628"/>
      <c r="C528" s="623"/>
      <c r="D528" s="623"/>
      <c r="E528" s="627" t="s">
        <v>1108</v>
      </c>
      <c r="F528" s="631" t="s">
        <v>1431</v>
      </c>
      <c r="G528" s="661">
        <v>100</v>
      </c>
      <c r="H528" s="633">
        <v>1450</v>
      </c>
      <c r="I528" s="618"/>
      <c r="J528" s="619" t="s">
        <v>1108</v>
      </c>
      <c r="K528" s="618"/>
      <c r="L528" s="619">
        <v>86</v>
      </c>
      <c r="M528" s="620">
        <v>81</v>
      </c>
      <c r="N528" s="619"/>
      <c r="O528" s="619">
        <v>10</v>
      </c>
      <c r="P528" s="619" t="s">
        <v>760</v>
      </c>
      <c r="Q528" s="662" t="s">
        <v>1002</v>
      </c>
      <c r="R528" s="618"/>
      <c r="S528" s="621" t="s">
        <v>930</v>
      </c>
      <c r="T528" s="619" t="s">
        <v>1015</v>
      </c>
    </row>
    <row r="529" spans="1:20">
      <c r="A529" s="630">
        <v>1401450</v>
      </c>
      <c r="B529" s="628"/>
      <c r="C529" s="623"/>
      <c r="D529" s="623"/>
      <c r="E529" s="627" t="s">
        <v>1110</v>
      </c>
      <c r="F529" s="631" t="s">
        <v>1432</v>
      </c>
      <c r="G529" s="661">
        <v>140</v>
      </c>
      <c r="H529" s="633">
        <v>1450</v>
      </c>
      <c r="I529" s="618"/>
      <c r="J529" s="619" t="s">
        <v>1110</v>
      </c>
      <c r="K529" s="618"/>
      <c r="L529" s="619">
        <v>86</v>
      </c>
      <c r="M529" s="620">
        <v>81</v>
      </c>
      <c r="N529" s="619"/>
      <c r="O529" s="619">
        <v>10</v>
      </c>
      <c r="P529" s="619" t="s">
        <v>760</v>
      </c>
      <c r="Q529" s="662" t="s">
        <v>1002</v>
      </c>
      <c r="R529" s="618"/>
      <c r="S529" s="621" t="s">
        <v>930</v>
      </c>
      <c r="T529" s="619" t="s">
        <v>1017</v>
      </c>
    </row>
    <row r="530" spans="1:20">
      <c r="A530" s="630">
        <v>3001450</v>
      </c>
      <c r="B530" s="628"/>
      <c r="C530" s="623"/>
      <c r="D530" s="623" t="s">
        <v>775</v>
      </c>
      <c r="E530" s="627" t="s">
        <v>1112</v>
      </c>
      <c r="F530" s="631" t="s">
        <v>1433</v>
      </c>
      <c r="G530" s="661">
        <v>300</v>
      </c>
      <c r="H530" s="633">
        <v>1450</v>
      </c>
      <c r="I530" s="618"/>
      <c r="J530" s="619" t="s">
        <v>1112</v>
      </c>
      <c r="K530" s="618"/>
      <c r="L530" s="619">
        <v>101</v>
      </c>
      <c r="M530" s="620">
        <v>96</v>
      </c>
      <c r="N530" s="619"/>
      <c r="O530" s="619">
        <v>10</v>
      </c>
      <c r="P530" s="619" t="s">
        <v>760</v>
      </c>
      <c r="Q530" s="662"/>
      <c r="R530" s="618"/>
      <c r="S530" s="621" t="s">
        <v>930</v>
      </c>
      <c r="T530" s="619" t="s">
        <v>1112</v>
      </c>
    </row>
    <row r="531" spans="1:20">
      <c r="A531" s="622"/>
      <c r="B531" s="628"/>
      <c r="C531" s="623"/>
      <c r="D531" s="623" t="s">
        <v>799</v>
      </c>
      <c r="E531" s="627" t="s">
        <v>250</v>
      </c>
      <c r="F531" s="626"/>
      <c r="G531" s="623"/>
      <c r="H531" s="627"/>
      <c r="I531" s="618"/>
      <c r="J531" s="618"/>
      <c r="K531" s="618"/>
      <c r="L531" s="618"/>
      <c r="M531" s="618"/>
      <c r="N531" s="618"/>
      <c r="O531" s="618"/>
      <c r="P531" s="618"/>
      <c r="Q531" s="662"/>
      <c r="R531" s="618"/>
      <c r="S531" s="621"/>
      <c r="T531" s="618"/>
    </row>
    <row r="532" spans="1:20">
      <c r="A532" s="630">
        <v>4301450</v>
      </c>
      <c r="B532" s="628"/>
      <c r="C532" s="623"/>
      <c r="D532" s="623"/>
      <c r="E532" s="627" t="s">
        <v>1114</v>
      </c>
      <c r="F532" s="631" t="s">
        <v>1434</v>
      </c>
      <c r="G532" s="661">
        <v>430</v>
      </c>
      <c r="H532" s="633">
        <v>1450</v>
      </c>
      <c r="I532" s="618"/>
      <c r="J532" s="619" t="s">
        <v>1114</v>
      </c>
      <c r="K532" s="618"/>
      <c r="L532" s="619">
        <v>107</v>
      </c>
      <c r="M532" s="620">
        <v>102</v>
      </c>
      <c r="N532" s="619"/>
      <c r="O532" s="619">
        <v>10</v>
      </c>
      <c r="P532" s="619" t="s">
        <v>760</v>
      </c>
      <c r="Q532" s="662"/>
      <c r="R532" s="618"/>
      <c r="S532" s="621" t="s">
        <v>930</v>
      </c>
      <c r="T532" s="619" t="s">
        <v>1021</v>
      </c>
    </row>
    <row r="533" spans="1:20">
      <c r="A533" s="630">
        <v>4421450</v>
      </c>
      <c r="B533" s="628"/>
      <c r="C533" s="623"/>
      <c r="D533" s="623"/>
      <c r="E533" s="627" t="s">
        <v>1116</v>
      </c>
      <c r="F533" s="631" t="s">
        <v>1435</v>
      </c>
      <c r="G533" s="661">
        <v>442</v>
      </c>
      <c r="H533" s="633">
        <v>1450</v>
      </c>
      <c r="I533" s="618"/>
      <c r="J533" s="619" t="s">
        <v>1116</v>
      </c>
      <c r="K533" s="618"/>
      <c r="L533" s="619">
        <v>106</v>
      </c>
      <c r="M533" s="620">
        <v>101</v>
      </c>
      <c r="N533" s="619"/>
      <c r="O533" s="619">
        <v>10</v>
      </c>
      <c r="P533" s="619" t="s">
        <v>760</v>
      </c>
      <c r="Q533" s="662"/>
      <c r="R533" s="618"/>
      <c r="S533" s="621" t="s">
        <v>930</v>
      </c>
      <c r="T533" s="619" t="s">
        <v>1023</v>
      </c>
    </row>
    <row r="534" spans="1:20">
      <c r="A534" s="630">
        <v>4001450</v>
      </c>
      <c r="B534" s="670"/>
      <c r="C534" s="632"/>
      <c r="D534" s="632"/>
      <c r="E534" s="637" t="s">
        <v>1118</v>
      </c>
      <c r="F534" s="631" t="s">
        <v>1436</v>
      </c>
      <c r="G534" s="661">
        <v>400</v>
      </c>
      <c r="H534" s="633">
        <v>1450</v>
      </c>
      <c r="I534" s="618"/>
      <c r="J534" s="619" t="s">
        <v>1118</v>
      </c>
      <c r="K534" s="618"/>
      <c r="L534" s="619">
        <v>108</v>
      </c>
      <c r="M534" s="620">
        <v>103</v>
      </c>
      <c r="N534" s="619"/>
      <c r="O534" s="619">
        <v>10</v>
      </c>
      <c r="P534" s="619" t="s">
        <v>760</v>
      </c>
      <c r="Q534" s="662"/>
      <c r="R534" s="618"/>
      <c r="S534" s="621" t="s">
        <v>930</v>
      </c>
      <c r="T534" s="619" t="s">
        <v>1025</v>
      </c>
    </row>
    <row r="535" spans="1:20">
      <c r="A535" s="622"/>
      <c r="B535" s="628"/>
      <c r="C535" s="623"/>
      <c r="D535" s="623" t="s">
        <v>803</v>
      </c>
      <c r="E535" s="627" t="s">
        <v>252</v>
      </c>
      <c r="F535" s="626"/>
      <c r="G535" s="623"/>
      <c r="H535" s="627"/>
      <c r="I535" s="618"/>
      <c r="J535" s="618"/>
      <c r="K535" s="618"/>
      <c r="L535" s="618"/>
      <c r="M535" s="618"/>
      <c r="N535" s="618"/>
      <c r="O535" s="618"/>
      <c r="P535" s="618"/>
      <c r="Q535" s="662"/>
      <c r="R535" s="618"/>
      <c r="S535" s="621"/>
      <c r="T535" s="618"/>
    </row>
    <row r="536" spans="1:20">
      <c r="A536" s="622"/>
      <c r="B536" s="628"/>
      <c r="C536" s="623"/>
      <c r="D536" s="623"/>
      <c r="E536" s="627" t="s">
        <v>1120</v>
      </c>
      <c r="F536" s="626"/>
      <c r="G536" s="623"/>
      <c r="H536" s="627"/>
      <c r="I536" s="618"/>
      <c r="J536" s="618"/>
      <c r="K536" s="618"/>
      <c r="L536" s="618"/>
      <c r="M536" s="618"/>
      <c r="N536" s="618"/>
      <c r="O536" s="618"/>
      <c r="P536" s="618"/>
      <c r="Q536" s="662"/>
      <c r="R536" s="618"/>
      <c r="S536" s="621"/>
      <c r="T536" s="618"/>
    </row>
    <row r="537" spans="1:20">
      <c r="A537" s="630">
        <v>5611450</v>
      </c>
      <c r="B537" s="628"/>
      <c r="C537" s="623"/>
      <c r="D537" s="623"/>
      <c r="E537" s="627" t="s">
        <v>1121</v>
      </c>
      <c r="F537" s="631" t="s">
        <v>1437</v>
      </c>
      <c r="G537" s="661">
        <v>561</v>
      </c>
      <c r="H537" s="633">
        <v>1450</v>
      </c>
      <c r="I537" s="618"/>
      <c r="J537" s="619" t="s">
        <v>1121</v>
      </c>
      <c r="K537" s="618"/>
      <c r="L537" s="619">
        <v>119</v>
      </c>
      <c r="M537" s="620">
        <v>110</v>
      </c>
      <c r="N537" s="619"/>
      <c r="O537" s="619">
        <v>10</v>
      </c>
      <c r="P537" s="619" t="s">
        <v>760</v>
      </c>
      <c r="Q537" s="662"/>
      <c r="R537" s="618"/>
      <c r="S537" s="621" t="s">
        <v>930</v>
      </c>
      <c r="T537" s="619" t="s">
        <v>1030</v>
      </c>
    </row>
    <row r="538" spans="1:20">
      <c r="A538" s="630">
        <v>5621450</v>
      </c>
      <c r="B538" s="628"/>
      <c r="C538" s="623"/>
      <c r="D538" s="623"/>
      <c r="E538" s="627" t="s">
        <v>1123</v>
      </c>
      <c r="F538" s="631" t="s">
        <v>1438</v>
      </c>
      <c r="G538" s="661">
        <v>562</v>
      </c>
      <c r="H538" s="633">
        <v>1450</v>
      </c>
      <c r="I538" s="618"/>
      <c r="J538" s="619" t="s">
        <v>1123</v>
      </c>
      <c r="K538" s="618"/>
      <c r="L538" s="619">
        <v>119</v>
      </c>
      <c r="M538" s="620">
        <v>110</v>
      </c>
      <c r="N538" s="619"/>
      <c r="O538" s="619">
        <v>10</v>
      </c>
      <c r="P538" s="619" t="s">
        <v>760</v>
      </c>
      <c r="Q538" s="662"/>
      <c r="R538" s="618"/>
      <c r="S538" s="621" t="s">
        <v>930</v>
      </c>
      <c r="T538" s="619" t="s">
        <v>1033</v>
      </c>
    </row>
    <row r="539" spans="1:20">
      <c r="A539" s="630">
        <v>5631450</v>
      </c>
      <c r="B539" s="628"/>
      <c r="C539" s="623"/>
      <c r="D539" s="623"/>
      <c r="E539" s="627" t="s">
        <v>1304</v>
      </c>
      <c r="F539" s="631" t="s">
        <v>1439</v>
      </c>
      <c r="G539" s="661">
        <v>563</v>
      </c>
      <c r="H539" s="633">
        <v>1450</v>
      </c>
      <c r="I539" s="618"/>
      <c r="J539" s="619" t="s">
        <v>1304</v>
      </c>
      <c r="K539" s="618"/>
      <c r="L539" s="619">
        <v>119</v>
      </c>
      <c r="M539" s="620">
        <v>110</v>
      </c>
      <c r="N539" s="619"/>
      <c r="O539" s="619">
        <v>10</v>
      </c>
      <c r="P539" s="619" t="s">
        <v>760</v>
      </c>
      <c r="Q539" s="662"/>
      <c r="R539" s="618"/>
      <c r="S539" s="621" t="s">
        <v>930</v>
      </c>
      <c r="T539" s="619" t="s">
        <v>1036</v>
      </c>
    </row>
    <row r="540" spans="1:20">
      <c r="A540" s="630">
        <v>5821450</v>
      </c>
      <c r="B540" s="628"/>
      <c r="C540" s="623"/>
      <c r="D540" s="623"/>
      <c r="E540" s="627" t="s">
        <v>1134</v>
      </c>
      <c r="F540" s="631" t="s">
        <v>1440</v>
      </c>
      <c r="G540" s="661">
        <v>582</v>
      </c>
      <c r="H540" s="633">
        <v>1450</v>
      </c>
      <c r="I540" s="618"/>
      <c r="J540" s="619" t="s">
        <v>1134</v>
      </c>
      <c r="K540" s="618"/>
      <c r="L540" s="619">
        <v>118</v>
      </c>
      <c r="M540" s="620">
        <v>109</v>
      </c>
      <c r="N540" s="619"/>
      <c r="O540" s="619">
        <v>10</v>
      </c>
      <c r="P540" s="619" t="s">
        <v>760</v>
      </c>
      <c r="Q540" s="662"/>
      <c r="R540" s="618"/>
      <c r="S540" s="621" t="s">
        <v>930</v>
      </c>
      <c r="T540" s="619" t="s">
        <v>1037</v>
      </c>
    </row>
    <row r="541" spans="1:20">
      <c r="A541" s="630">
        <v>5001450</v>
      </c>
      <c r="B541" s="628"/>
      <c r="C541" s="623"/>
      <c r="D541" s="623"/>
      <c r="E541" s="627" t="s">
        <v>1136</v>
      </c>
      <c r="F541" s="631" t="s">
        <v>1441</v>
      </c>
      <c r="G541" s="661">
        <v>500</v>
      </c>
      <c r="H541" s="633">
        <v>1450</v>
      </c>
      <c r="I541" s="618"/>
      <c r="J541" s="619" t="s">
        <v>1136</v>
      </c>
      <c r="K541" s="618"/>
      <c r="L541" s="619">
        <v>119</v>
      </c>
      <c r="M541" s="620">
        <v>110</v>
      </c>
      <c r="N541" s="619"/>
      <c r="O541" s="619">
        <v>10</v>
      </c>
      <c r="P541" s="619" t="s">
        <v>760</v>
      </c>
      <c r="Q541" s="662"/>
      <c r="R541" s="618"/>
      <c r="S541" s="621" t="s">
        <v>930</v>
      </c>
      <c r="T541" s="619" t="s">
        <v>252</v>
      </c>
    </row>
    <row r="542" spans="1:20">
      <c r="A542" s="622"/>
      <c r="B542" s="628"/>
      <c r="C542" s="623"/>
      <c r="D542" s="623" t="s">
        <v>848</v>
      </c>
      <c r="E542" s="627" t="s">
        <v>1040</v>
      </c>
      <c r="F542" s="626"/>
      <c r="G542" s="623"/>
      <c r="H542" s="627"/>
      <c r="I542" s="618"/>
      <c r="J542" s="618"/>
      <c r="K542" s="618"/>
      <c r="L542" s="618"/>
      <c r="M542" s="618"/>
      <c r="N542" s="618"/>
      <c r="O542" s="618"/>
      <c r="P542" s="618"/>
      <c r="Q542" s="662"/>
      <c r="R542" s="618"/>
      <c r="S542" s="621"/>
      <c r="T542" s="618"/>
    </row>
    <row r="543" spans="1:20">
      <c r="A543" s="630">
        <v>6151450</v>
      </c>
      <c r="B543" s="628"/>
      <c r="C543" s="623"/>
      <c r="D543" s="623"/>
      <c r="E543" s="627" t="s">
        <v>1138</v>
      </c>
      <c r="F543" s="631" t="s">
        <v>1442</v>
      </c>
      <c r="G543" s="661">
        <v>615</v>
      </c>
      <c r="H543" s="633">
        <v>1450</v>
      </c>
      <c r="I543" s="618"/>
      <c r="J543" s="619" t="s">
        <v>1138</v>
      </c>
      <c r="K543" s="618"/>
      <c r="L543" s="619">
        <v>126</v>
      </c>
      <c r="M543" s="620">
        <v>117</v>
      </c>
      <c r="N543" s="619"/>
      <c r="O543" s="619">
        <v>10</v>
      </c>
      <c r="P543" s="619" t="s">
        <v>760</v>
      </c>
      <c r="Q543" s="662" t="s">
        <v>1043</v>
      </c>
      <c r="R543" s="618"/>
      <c r="S543" s="621" t="s">
        <v>930</v>
      </c>
      <c r="T543" s="619" t="s">
        <v>1041</v>
      </c>
    </row>
    <row r="544" spans="1:20">
      <c r="A544" s="630">
        <v>6101450</v>
      </c>
      <c r="B544" s="628"/>
      <c r="C544" s="623"/>
      <c r="D544" s="623"/>
      <c r="E544" s="627" t="s">
        <v>1140</v>
      </c>
      <c r="F544" s="631" t="s">
        <v>1443</v>
      </c>
      <c r="G544" s="661">
        <v>610</v>
      </c>
      <c r="H544" s="633">
        <v>1450</v>
      </c>
      <c r="I544" s="618"/>
      <c r="J544" s="619" t="s">
        <v>1140</v>
      </c>
      <c r="K544" s="618"/>
      <c r="L544" s="619">
        <v>122</v>
      </c>
      <c r="M544" s="620">
        <v>113</v>
      </c>
      <c r="N544" s="619"/>
      <c r="O544" s="619">
        <v>10</v>
      </c>
      <c r="P544" s="619" t="s">
        <v>760</v>
      </c>
      <c r="Q544" s="662" t="s">
        <v>1043</v>
      </c>
      <c r="R544" s="618"/>
      <c r="S544" s="621" t="s">
        <v>930</v>
      </c>
      <c r="T544" s="619" t="s">
        <v>39</v>
      </c>
    </row>
    <row r="545" spans="1:20">
      <c r="A545" s="630">
        <v>6421450</v>
      </c>
      <c r="B545" s="628"/>
      <c r="C545" s="623"/>
      <c r="D545" s="623"/>
      <c r="E545" s="627" t="s">
        <v>1142</v>
      </c>
      <c r="F545" s="631" t="s">
        <v>1444</v>
      </c>
      <c r="G545" s="661">
        <v>642</v>
      </c>
      <c r="H545" s="633">
        <v>1450</v>
      </c>
      <c r="I545" s="618"/>
      <c r="J545" s="619" t="s">
        <v>1142</v>
      </c>
      <c r="K545" s="618"/>
      <c r="L545" s="619">
        <v>125</v>
      </c>
      <c r="M545" s="620">
        <v>116</v>
      </c>
      <c r="N545" s="619"/>
      <c r="O545" s="619">
        <v>10</v>
      </c>
      <c r="P545" s="619" t="s">
        <v>760</v>
      </c>
      <c r="Q545" s="662" t="s">
        <v>1043</v>
      </c>
      <c r="R545" s="618"/>
      <c r="S545" s="621" t="s">
        <v>930</v>
      </c>
      <c r="T545" s="619" t="s">
        <v>1046</v>
      </c>
    </row>
    <row r="546" spans="1:20">
      <c r="A546" s="630">
        <v>6001450</v>
      </c>
      <c r="B546" s="628"/>
      <c r="C546" s="623"/>
      <c r="D546" s="623"/>
      <c r="E546" s="627" t="s">
        <v>1144</v>
      </c>
      <c r="F546" s="631" t="s">
        <v>1445</v>
      </c>
      <c r="G546" s="661">
        <v>600</v>
      </c>
      <c r="H546" s="633">
        <v>1450</v>
      </c>
      <c r="I546" s="618"/>
      <c r="J546" s="619" t="s">
        <v>1144</v>
      </c>
      <c r="K546" s="618"/>
      <c r="L546" s="619">
        <v>126</v>
      </c>
      <c r="M546" s="620">
        <v>117</v>
      </c>
      <c r="N546" s="619"/>
      <c r="O546" s="619">
        <v>10</v>
      </c>
      <c r="P546" s="619" t="s">
        <v>760</v>
      </c>
      <c r="Q546" s="662"/>
      <c r="R546" s="618"/>
      <c r="S546" s="621" t="s">
        <v>930</v>
      </c>
      <c r="T546" s="619" t="s">
        <v>1048</v>
      </c>
    </row>
    <row r="547" spans="1:20">
      <c r="A547" s="622"/>
      <c r="B547" s="628"/>
      <c r="C547" s="623"/>
      <c r="D547" s="623" t="s">
        <v>851</v>
      </c>
      <c r="E547" s="627" t="s">
        <v>1050</v>
      </c>
      <c r="F547" s="626"/>
      <c r="G547" s="623"/>
      <c r="H547" s="627"/>
      <c r="I547" s="618"/>
      <c r="J547" s="618"/>
      <c r="K547" s="618"/>
      <c r="L547" s="618"/>
      <c r="M547" s="618"/>
      <c r="N547" s="618"/>
      <c r="O547" s="618"/>
      <c r="P547" s="618"/>
      <c r="Q547" s="662"/>
      <c r="R547" s="618"/>
      <c r="S547" s="621"/>
      <c r="T547" s="618"/>
    </row>
    <row r="548" spans="1:20">
      <c r="A548" s="630">
        <v>7341450</v>
      </c>
      <c r="B548" s="628"/>
      <c r="C548" s="623"/>
      <c r="D548" s="623"/>
      <c r="E548" s="627" t="s">
        <v>1146</v>
      </c>
      <c r="F548" s="631" t="s">
        <v>1446</v>
      </c>
      <c r="G548" s="661">
        <v>734</v>
      </c>
      <c r="H548" s="633">
        <v>1450</v>
      </c>
      <c r="I548" s="618"/>
      <c r="J548" s="619" t="s">
        <v>1146</v>
      </c>
      <c r="K548" s="618"/>
      <c r="L548" s="619">
        <v>131</v>
      </c>
      <c r="M548" s="620">
        <v>122</v>
      </c>
      <c r="N548" s="619"/>
      <c r="O548" s="619">
        <v>10</v>
      </c>
      <c r="P548" s="619" t="s">
        <v>760</v>
      </c>
      <c r="Q548" s="662"/>
      <c r="R548" s="618"/>
      <c r="S548" s="621" t="s">
        <v>930</v>
      </c>
      <c r="T548" s="619" t="s">
        <v>1051</v>
      </c>
    </row>
    <row r="549" spans="1:20">
      <c r="A549" s="630">
        <v>7351450</v>
      </c>
      <c r="B549" s="628"/>
      <c r="C549" s="623"/>
      <c r="D549" s="623"/>
      <c r="E549" s="627" t="s">
        <v>1148</v>
      </c>
      <c r="F549" s="631" t="s">
        <v>1447</v>
      </c>
      <c r="G549" s="661">
        <v>735</v>
      </c>
      <c r="H549" s="633">
        <v>1450</v>
      </c>
      <c r="I549" s="618"/>
      <c r="J549" s="619" t="s">
        <v>1148</v>
      </c>
      <c r="K549" s="618"/>
      <c r="L549" s="619">
        <v>131</v>
      </c>
      <c r="M549" s="620">
        <v>122</v>
      </c>
      <c r="N549" s="619"/>
      <c r="O549" s="619">
        <v>10</v>
      </c>
      <c r="P549" s="619" t="s">
        <v>760</v>
      </c>
      <c r="Q549" s="662"/>
      <c r="R549" s="618"/>
      <c r="S549" s="621" t="s">
        <v>930</v>
      </c>
      <c r="T549" s="619" t="s">
        <v>1053</v>
      </c>
    </row>
    <row r="550" spans="1:20">
      <c r="A550" s="630">
        <v>7301450</v>
      </c>
      <c r="B550" s="628"/>
      <c r="C550" s="623"/>
      <c r="D550" s="623"/>
      <c r="E550" s="627" t="s">
        <v>1150</v>
      </c>
      <c r="F550" s="631" t="s">
        <v>1448</v>
      </c>
      <c r="G550" s="661">
        <v>730</v>
      </c>
      <c r="H550" s="633">
        <v>1450</v>
      </c>
      <c r="I550" s="618"/>
      <c r="J550" s="619" t="s">
        <v>1150</v>
      </c>
      <c r="K550" s="618"/>
      <c r="L550" s="619">
        <v>131</v>
      </c>
      <c r="M550" s="620">
        <v>122</v>
      </c>
      <c r="N550" s="619"/>
      <c r="O550" s="619">
        <v>10</v>
      </c>
      <c r="P550" s="619" t="s">
        <v>760</v>
      </c>
      <c r="Q550" s="662"/>
      <c r="R550" s="618"/>
      <c r="S550" s="621" t="s">
        <v>930</v>
      </c>
      <c r="T550" s="619" t="s">
        <v>1055</v>
      </c>
    </row>
    <row r="551" spans="1:20">
      <c r="A551" s="630">
        <v>7001450</v>
      </c>
      <c r="B551" s="628"/>
      <c r="C551" s="623"/>
      <c r="D551" s="623"/>
      <c r="E551" s="627" t="s">
        <v>1152</v>
      </c>
      <c r="F551" s="631" t="s">
        <v>1449</v>
      </c>
      <c r="G551" s="661">
        <v>700</v>
      </c>
      <c r="H551" s="633">
        <v>1450</v>
      </c>
      <c r="I551" s="618"/>
      <c r="J551" s="619" t="s">
        <v>1152</v>
      </c>
      <c r="K551" s="618"/>
      <c r="L551" s="619">
        <v>132</v>
      </c>
      <c r="M551" s="620">
        <v>123</v>
      </c>
      <c r="N551" s="619"/>
      <c r="O551" s="619">
        <v>10</v>
      </c>
      <c r="P551" s="619" t="s">
        <v>760</v>
      </c>
      <c r="Q551" s="662"/>
      <c r="R551" s="618"/>
      <c r="S551" s="621" t="s">
        <v>930</v>
      </c>
      <c r="T551" s="619" t="s">
        <v>1057</v>
      </c>
    </row>
    <row r="552" spans="1:20">
      <c r="A552" s="622"/>
      <c r="B552" s="628"/>
      <c r="C552" s="623"/>
      <c r="D552" s="623" t="s">
        <v>854</v>
      </c>
      <c r="E552" s="627" t="s">
        <v>256</v>
      </c>
      <c r="F552" s="626"/>
      <c r="G552" s="623"/>
      <c r="H552" s="627"/>
      <c r="I552" s="618"/>
      <c r="J552" s="618"/>
      <c r="K552" s="618"/>
      <c r="L552" s="618"/>
      <c r="M552" s="618"/>
      <c r="N552" s="618"/>
      <c r="O552" s="618"/>
      <c r="P552" s="618"/>
      <c r="Q552" s="662"/>
      <c r="R552" s="618"/>
      <c r="S552" s="621"/>
      <c r="T552" s="618"/>
    </row>
    <row r="553" spans="1:20">
      <c r="A553" s="630">
        <v>8951450</v>
      </c>
      <c r="B553" s="628"/>
      <c r="C553" s="623"/>
      <c r="D553" s="623"/>
      <c r="E553" s="627" t="s">
        <v>1154</v>
      </c>
      <c r="F553" s="631" t="s">
        <v>1450</v>
      </c>
      <c r="G553" s="661">
        <v>895</v>
      </c>
      <c r="H553" s="633">
        <v>1450</v>
      </c>
      <c r="I553" s="618"/>
      <c r="J553" s="619" t="s">
        <v>1154</v>
      </c>
      <c r="K553" s="618"/>
      <c r="L553" s="619">
        <v>139</v>
      </c>
      <c r="M553" s="620">
        <v>129</v>
      </c>
      <c r="N553" s="619"/>
      <c r="O553" s="619">
        <v>10</v>
      </c>
      <c r="P553" s="619" t="s">
        <v>760</v>
      </c>
      <c r="Q553" s="662"/>
      <c r="R553" s="618"/>
      <c r="S553" s="621" t="s">
        <v>930</v>
      </c>
      <c r="T553" s="619" t="s">
        <v>1059</v>
      </c>
    </row>
    <row r="554" spans="1:20">
      <c r="A554" s="630">
        <v>8001450</v>
      </c>
      <c r="B554" s="628"/>
      <c r="C554" s="623"/>
      <c r="D554" s="623"/>
      <c r="E554" s="627" t="s">
        <v>1156</v>
      </c>
      <c r="F554" s="631" t="s">
        <v>1451</v>
      </c>
      <c r="G554" s="661">
        <v>800</v>
      </c>
      <c r="H554" s="633">
        <v>1450</v>
      </c>
      <c r="I554" s="618"/>
      <c r="J554" s="619" t="s">
        <v>1156</v>
      </c>
      <c r="K554" s="618"/>
      <c r="L554" s="619">
        <v>139</v>
      </c>
      <c r="M554" s="620">
        <v>129</v>
      </c>
      <c r="N554" s="619"/>
      <c r="O554" s="619">
        <v>10</v>
      </c>
      <c r="P554" s="619" t="s">
        <v>760</v>
      </c>
      <c r="Q554" s="662"/>
      <c r="R554" s="618"/>
      <c r="S554" s="621" t="s">
        <v>930</v>
      </c>
      <c r="T554" s="619" t="s">
        <v>1061</v>
      </c>
    </row>
    <row r="555" spans="1:20">
      <c r="A555" s="622"/>
      <c r="B555" s="628"/>
      <c r="C555" s="623"/>
      <c r="D555" s="623" t="s">
        <v>857</v>
      </c>
      <c r="E555" s="627" t="s">
        <v>1063</v>
      </c>
      <c r="F555" s="626"/>
      <c r="G555" s="623"/>
      <c r="H555" s="627"/>
      <c r="I555" s="618"/>
      <c r="J555" s="618"/>
      <c r="K555" s="618"/>
      <c r="L555" s="618"/>
      <c r="M555" s="618"/>
      <c r="N555" s="618"/>
      <c r="O555" s="618"/>
      <c r="P555" s="618"/>
      <c r="Q555" s="662"/>
      <c r="R555" s="618"/>
      <c r="S555" s="621"/>
      <c r="T555" s="618"/>
    </row>
    <row r="556" spans="1:20">
      <c r="A556" s="630">
        <v>2101450</v>
      </c>
      <c r="B556" s="628"/>
      <c r="C556" s="623"/>
      <c r="D556" s="623"/>
      <c r="E556" s="627" t="s">
        <v>1158</v>
      </c>
      <c r="F556" s="631" t="s">
        <v>1452</v>
      </c>
      <c r="G556" s="661">
        <v>210</v>
      </c>
      <c r="H556" s="633">
        <v>1450</v>
      </c>
      <c r="I556" s="618"/>
      <c r="J556" s="619" t="s">
        <v>1158</v>
      </c>
      <c r="K556" s="618"/>
      <c r="L556" s="619">
        <v>89</v>
      </c>
      <c r="M556" s="620">
        <v>84</v>
      </c>
      <c r="N556" s="619"/>
      <c r="O556" s="619">
        <v>10</v>
      </c>
      <c r="P556" s="619" t="s">
        <v>760</v>
      </c>
      <c r="Q556" s="662" t="s">
        <v>1002</v>
      </c>
      <c r="R556" s="618"/>
      <c r="S556" s="621" t="s">
        <v>930</v>
      </c>
      <c r="T556" s="619" t="s">
        <v>1064</v>
      </c>
    </row>
    <row r="557" spans="1:20">
      <c r="A557" s="630">
        <v>2201450</v>
      </c>
      <c r="B557" s="628"/>
      <c r="C557" s="623"/>
      <c r="D557" s="623"/>
      <c r="E557" s="627" t="s">
        <v>1160</v>
      </c>
      <c r="F557" s="631" t="s">
        <v>1453</v>
      </c>
      <c r="G557" s="661">
        <v>220</v>
      </c>
      <c r="H557" s="633">
        <v>1450</v>
      </c>
      <c r="I557" s="618"/>
      <c r="J557" s="619" t="s">
        <v>1160</v>
      </c>
      <c r="K557" s="618"/>
      <c r="L557" s="619">
        <v>90</v>
      </c>
      <c r="M557" s="620">
        <v>85</v>
      </c>
      <c r="N557" s="619"/>
      <c r="O557" s="619">
        <v>10</v>
      </c>
      <c r="P557" s="619" t="s">
        <v>760</v>
      </c>
      <c r="Q557" s="662" t="s">
        <v>1002</v>
      </c>
      <c r="R557" s="618"/>
      <c r="S557" s="621" t="s">
        <v>930</v>
      </c>
      <c r="T557" s="619" t="s">
        <v>1066</v>
      </c>
    </row>
    <row r="558" spans="1:20">
      <c r="A558" s="630">
        <v>2251450</v>
      </c>
      <c r="B558" s="628"/>
      <c r="C558" s="623"/>
      <c r="D558" s="623"/>
      <c r="E558" s="627" t="s">
        <v>1162</v>
      </c>
      <c r="F558" s="631" t="s">
        <v>1454</v>
      </c>
      <c r="G558" s="661">
        <v>225</v>
      </c>
      <c r="H558" s="633">
        <v>1450</v>
      </c>
      <c r="I558" s="618"/>
      <c r="J558" s="619" t="s">
        <v>1162</v>
      </c>
      <c r="K558" s="618"/>
      <c r="L558" s="619">
        <v>91</v>
      </c>
      <c r="M558" s="620">
        <v>86</v>
      </c>
      <c r="N558" s="619"/>
      <c r="O558" s="619">
        <v>10</v>
      </c>
      <c r="P558" s="619" t="s">
        <v>760</v>
      </c>
      <c r="Q558" s="662" t="s">
        <v>1002</v>
      </c>
      <c r="R558" s="618"/>
      <c r="S558" s="621" t="s">
        <v>930</v>
      </c>
      <c r="T558" s="619" t="s">
        <v>23</v>
      </c>
    </row>
    <row r="559" spans="1:20">
      <c r="A559" s="622"/>
      <c r="B559" s="628"/>
      <c r="C559" s="623"/>
      <c r="D559" s="623"/>
      <c r="E559" s="627" t="s">
        <v>1164</v>
      </c>
      <c r="F559" s="626"/>
      <c r="G559" s="623"/>
      <c r="H559" s="627"/>
      <c r="I559" s="618"/>
      <c r="J559" s="618"/>
      <c r="K559" s="618"/>
      <c r="L559" s="618"/>
      <c r="M559" s="618"/>
      <c r="N559" s="618"/>
      <c r="O559" s="618"/>
      <c r="P559" s="618"/>
      <c r="Q559" s="662"/>
      <c r="R559" s="618"/>
      <c r="S559" s="621"/>
      <c r="T559" s="618"/>
    </row>
    <row r="560" spans="1:20">
      <c r="A560" s="630">
        <v>2311450</v>
      </c>
      <c r="B560" s="628"/>
      <c r="C560" s="623"/>
      <c r="D560" s="623"/>
      <c r="E560" s="627" t="s">
        <v>1165</v>
      </c>
      <c r="F560" s="631" t="s">
        <v>1455</v>
      </c>
      <c r="G560" s="661">
        <v>231</v>
      </c>
      <c r="H560" s="633">
        <v>1450</v>
      </c>
      <c r="I560" s="618"/>
      <c r="J560" s="619" t="s">
        <v>1165</v>
      </c>
      <c r="K560" s="618"/>
      <c r="L560" s="619">
        <v>92</v>
      </c>
      <c r="M560" s="620">
        <v>87</v>
      </c>
      <c r="N560" s="619"/>
      <c r="O560" s="619">
        <v>10</v>
      </c>
      <c r="P560" s="619" t="s">
        <v>760</v>
      </c>
      <c r="Q560" s="662" t="s">
        <v>1002</v>
      </c>
      <c r="R560" s="618"/>
      <c r="S560" s="621" t="s">
        <v>930</v>
      </c>
      <c r="T560" s="619" t="s">
        <v>1072</v>
      </c>
    </row>
    <row r="561" spans="1:20">
      <c r="A561" s="630">
        <v>2331450</v>
      </c>
      <c r="B561" s="628"/>
      <c r="C561" s="623"/>
      <c r="D561" s="623"/>
      <c r="E561" s="627" t="s">
        <v>1167</v>
      </c>
      <c r="F561" s="631" t="s">
        <v>1456</v>
      </c>
      <c r="G561" s="661">
        <v>233</v>
      </c>
      <c r="H561" s="633">
        <v>1450</v>
      </c>
      <c r="I561" s="618"/>
      <c r="J561" s="619" t="s">
        <v>1167</v>
      </c>
      <c r="K561" s="618"/>
      <c r="L561" s="619">
        <v>92</v>
      </c>
      <c r="M561" s="620">
        <v>87</v>
      </c>
      <c r="N561" s="619"/>
      <c r="O561" s="619">
        <v>10</v>
      </c>
      <c r="P561" s="619" t="s">
        <v>760</v>
      </c>
      <c r="Q561" s="662" t="s">
        <v>1002</v>
      </c>
      <c r="R561" s="618"/>
      <c r="S561" s="621" t="s">
        <v>930</v>
      </c>
      <c r="T561" s="619" t="s">
        <v>1169</v>
      </c>
    </row>
    <row r="562" spans="1:20">
      <c r="A562" s="630">
        <v>2391450</v>
      </c>
      <c r="B562" s="628"/>
      <c r="C562" s="623"/>
      <c r="D562" s="623"/>
      <c r="E562" s="627" t="s">
        <v>1170</v>
      </c>
      <c r="F562" s="631" t="s">
        <v>1457</v>
      </c>
      <c r="G562" s="661">
        <v>239</v>
      </c>
      <c r="H562" s="633">
        <v>1450</v>
      </c>
      <c r="I562" s="618"/>
      <c r="J562" s="619" t="s">
        <v>1170</v>
      </c>
      <c r="K562" s="618"/>
      <c r="L562" s="619">
        <v>92</v>
      </c>
      <c r="M562" s="620">
        <v>87</v>
      </c>
      <c r="N562" s="619"/>
      <c r="O562" s="619">
        <v>10</v>
      </c>
      <c r="P562" s="619" t="s">
        <v>760</v>
      </c>
      <c r="Q562" s="662" t="s">
        <v>1002</v>
      </c>
      <c r="R562" s="618"/>
      <c r="S562" s="621" t="s">
        <v>930</v>
      </c>
      <c r="T562" s="619" t="s">
        <v>1078</v>
      </c>
    </row>
    <row r="563" spans="1:20">
      <c r="A563" s="630">
        <v>2501450</v>
      </c>
      <c r="B563" s="628"/>
      <c r="C563" s="623"/>
      <c r="D563" s="623"/>
      <c r="E563" s="627" t="s">
        <v>1172</v>
      </c>
      <c r="F563" s="631" t="s">
        <v>1458</v>
      </c>
      <c r="G563" s="661">
        <v>250</v>
      </c>
      <c r="H563" s="633">
        <v>1450</v>
      </c>
      <c r="I563" s="618"/>
      <c r="J563" s="619" t="s">
        <v>1172</v>
      </c>
      <c r="K563" s="618"/>
      <c r="L563" s="619">
        <v>93</v>
      </c>
      <c r="M563" s="620">
        <v>88</v>
      </c>
      <c r="N563" s="619"/>
      <c r="O563" s="619">
        <v>10</v>
      </c>
      <c r="P563" s="619" t="s">
        <v>760</v>
      </c>
      <c r="Q563" s="662" t="s">
        <v>1002</v>
      </c>
      <c r="R563" s="618"/>
      <c r="S563" s="621" t="s">
        <v>930</v>
      </c>
      <c r="T563" s="619" t="s">
        <v>1079</v>
      </c>
    </row>
    <row r="564" spans="1:20">
      <c r="A564" s="630">
        <v>2601450</v>
      </c>
      <c r="B564" s="628"/>
      <c r="C564" s="623"/>
      <c r="D564" s="623"/>
      <c r="E564" s="627" t="s">
        <v>1174</v>
      </c>
      <c r="F564" s="631" t="s">
        <v>1459</v>
      </c>
      <c r="G564" s="661">
        <v>260</v>
      </c>
      <c r="H564" s="633">
        <v>1450</v>
      </c>
      <c r="I564" s="618"/>
      <c r="J564" s="619" t="s">
        <v>1174</v>
      </c>
      <c r="K564" s="618"/>
      <c r="L564" s="619">
        <v>95</v>
      </c>
      <c r="M564" s="620">
        <v>90</v>
      </c>
      <c r="N564" s="619"/>
      <c r="O564" s="619">
        <v>10</v>
      </c>
      <c r="P564" s="619" t="s">
        <v>760</v>
      </c>
      <c r="Q564" s="662" t="s">
        <v>1002</v>
      </c>
      <c r="R564" s="618"/>
      <c r="S564" s="621" t="s">
        <v>930</v>
      </c>
      <c r="T564" s="619" t="s">
        <v>1081</v>
      </c>
    </row>
    <row r="565" spans="1:20">
      <c r="A565" s="630">
        <v>2701450</v>
      </c>
      <c r="B565" s="628"/>
      <c r="C565" s="623"/>
      <c r="D565" s="623"/>
      <c r="E565" s="627" t="s">
        <v>1176</v>
      </c>
      <c r="F565" s="631" t="s">
        <v>1460</v>
      </c>
      <c r="G565" s="661">
        <v>270</v>
      </c>
      <c r="H565" s="633">
        <v>1450</v>
      </c>
      <c r="I565" s="618"/>
      <c r="J565" s="619" t="s">
        <v>1176</v>
      </c>
      <c r="K565" s="618"/>
      <c r="L565" s="619">
        <v>94</v>
      </c>
      <c r="M565" s="620">
        <v>89</v>
      </c>
      <c r="N565" s="619"/>
      <c r="O565" s="619">
        <v>10</v>
      </c>
      <c r="P565" s="619" t="s">
        <v>760</v>
      </c>
      <c r="Q565" s="662" t="s">
        <v>1002</v>
      </c>
      <c r="R565" s="618"/>
      <c r="S565" s="621" t="s">
        <v>930</v>
      </c>
      <c r="T565" s="619" t="s">
        <v>1083</v>
      </c>
    </row>
    <row r="566" spans="1:20">
      <c r="A566" s="630">
        <v>2811450</v>
      </c>
      <c r="B566" s="628"/>
      <c r="C566" s="623"/>
      <c r="D566" s="623"/>
      <c r="E566" s="627" t="s">
        <v>1178</v>
      </c>
      <c r="F566" s="631" t="s">
        <v>1461</v>
      </c>
      <c r="G566" s="661">
        <v>281</v>
      </c>
      <c r="H566" s="633">
        <v>1450</v>
      </c>
      <c r="I566" s="618"/>
      <c r="J566" s="619" t="s">
        <v>1178</v>
      </c>
      <c r="K566" s="618"/>
      <c r="L566" s="619">
        <v>95</v>
      </c>
      <c r="M566" s="620">
        <v>90</v>
      </c>
      <c r="N566" s="619"/>
      <c r="O566" s="619">
        <v>10</v>
      </c>
      <c r="P566" s="619" t="s">
        <v>760</v>
      </c>
      <c r="Q566" s="662" t="s">
        <v>1002</v>
      </c>
      <c r="R566" s="618"/>
      <c r="S566" s="621" t="s">
        <v>930</v>
      </c>
      <c r="T566" s="619" t="s">
        <v>1085</v>
      </c>
    </row>
    <row r="567" spans="1:20">
      <c r="A567" s="630">
        <v>2821450</v>
      </c>
      <c r="B567" s="628"/>
      <c r="C567" s="623"/>
      <c r="D567" s="623"/>
      <c r="E567" s="627" t="s">
        <v>1180</v>
      </c>
      <c r="F567" s="631" t="s">
        <v>1462</v>
      </c>
      <c r="G567" s="661">
        <v>282</v>
      </c>
      <c r="H567" s="633">
        <v>1450</v>
      </c>
      <c r="I567" s="618"/>
      <c r="J567" s="619" t="s">
        <v>1180</v>
      </c>
      <c r="K567" s="618"/>
      <c r="L567" s="619">
        <v>95</v>
      </c>
      <c r="M567" s="620">
        <v>90</v>
      </c>
      <c r="N567" s="619"/>
      <c r="O567" s="619">
        <v>10</v>
      </c>
      <c r="P567" s="619" t="s">
        <v>760</v>
      </c>
      <c r="Q567" s="662" t="s">
        <v>1002</v>
      </c>
      <c r="R567" s="618"/>
      <c r="S567" s="621" t="s">
        <v>930</v>
      </c>
      <c r="T567" s="619" t="s">
        <v>1087</v>
      </c>
    </row>
    <row r="568" spans="1:20">
      <c r="A568" s="630">
        <v>2901450</v>
      </c>
      <c r="B568" s="628"/>
      <c r="C568" s="623"/>
      <c r="D568" s="623"/>
      <c r="E568" s="627" t="s">
        <v>1182</v>
      </c>
      <c r="F568" s="631" t="s">
        <v>1463</v>
      </c>
      <c r="G568" s="661">
        <v>290</v>
      </c>
      <c r="H568" s="633">
        <v>1450</v>
      </c>
      <c r="I568" s="618"/>
      <c r="J568" s="619" t="s">
        <v>1182</v>
      </c>
      <c r="K568" s="618"/>
      <c r="L568" s="619">
        <v>95</v>
      </c>
      <c r="M568" s="620">
        <v>90</v>
      </c>
      <c r="N568" s="619"/>
      <c r="O568" s="619">
        <v>10</v>
      </c>
      <c r="P568" s="619" t="s">
        <v>760</v>
      </c>
      <c r="Q568" s="662" t="s">
        <v>1002</v>
      </c>
      <c r="R568" s="618"/>
      <c r="S568" s="621" t="s">
        <v>930</v>
      </c>
      <c r="T568" s="619" t="s">
        <v>1090</v>
      </c>
    </row>
    <row r="569" spans="1:20">
      <c r="A569" s="622"/>
      <c r="B569" s="628"/>
      <c r="C569" s="629">
        <v>23</v>
      </c>
      <c r="D569" s="774" t="s">
        <v>1464</v>
      </c>
      <c r="E569" s="775"/>
      <c r="F569" s="626"/>
      <c r="G569" s="623"/>
      <c r="H569" s="627"/>
      <c r="I569" s="618"/>
      <c r="J569" s="618"/>
      <c r="K569" s="618"/>
      <c r="L569" s="618"/>
      <c r="M569" s="618"/>
      <c r="N569" s="618"/>
      <c r="O569" s="618"/>
      <c r="P569" s="618"/>
      <c r="Q569" s="662"/>
      <c r="R569" s="618"/>
      <c r="S569" s="621"/>
      <c r="T569" s="618"/>
    </row>
    <row r="570" spans="1:20">
      <c r="A570" s="622"/>
      <c r="B570" s="628"/>
      <c r="C570" s="623"/>
      <c r="D570" s="623" t="s">
        <v>756</v>
      </c>
      <c r="E570" s="627" t="s">
        <v>244</v>
      </c>
      <c r="F570" s="626"/>
      <c r="G570" s="623"/>
      <c r="H570" s="627"/>
      <c r="I570" s="618"/>
      <c r="J570" s="618"/>
      <c r="K570" s="618"/>
      <c r="L570" s="618"/>
      <c r="M570" s="618"/>
      <c r="N570" s="618"/>
      <c r="O570" s="618"/>
      <c r="P570" s="618"/>
      <c r="Q570" s="662"/>
      <c r="R570" s="618"/>
      <c r="S570" s="621"/>
      <c r="T570" s="618"/>
    </row>
    <row r="571" spans="1:20">
      <c r="A571" s="630">
        <v>1121460</v>
      </c>
      <c r="B571" s="628"/>
      <c r="C571" s="623"/>
      <c r="D571" s="623"/>
      <c r="E571" s="627" t="s">
        <v>1096</v>
      </c>
      <c r="F571" s="631" t="s">
        <v>1465</v>
      </c>
      <c r="G571" s="661">
        <v>112</v>
      </c>
      <c r="H571" s="633">
        <v>1460</v>
      </c>
      <c r="I571" s="618"/>
      <c r="J571" s="619" t="s">
        <v>1096</v>
      </c>
      <c r="K571" s="618"/>
      <c r="L571" s="619">
        <v>82</v>
      </c>
      <c r="M571" s="620">
        <v>77</v>
      </c>
      <c r="N571" s="619"/>
      <c r="O571" s="619">
        <v>10</v>
      </c>
      <c r="P571" s="619" t="s">
        <v>760</v>
      </c>
      <c r="Q571" s="662" t="s">
        <v>1002</v>
      </c>
      <c r="R571" s="618"/>
      <c r="S571" s="621" t="s">
        <v>1466</v>
      </c>
      <c r="T571" s="619" t="s">
        <v>5</v>
      </c>
    </row>
    <row r="572" spans="1:20">
      <c r="A572" s="630">
        <v>1151460</v>
      </c>
      <c r="B572" s="628"/>
      <c r="C572" s="623"/>
      <c r="D572" s="623"/>
      <c r="E572" s="627" t="s">
        <v>1099</v>
      </c>
      <c r="F572" s="631" t="s">
        <v>1467</v>
      </c>
      <c r="G572" s="661">
        <v>115</v>
      </c>
      <c r="H572" s="633">
        <v>1460</v>
      </c>
      <c r="I572" s="618"/>
      <c r="J572" s="619" t="s">
        <v>1099</v>
      </c>
      <c r="K572" s="618"/>
      <c r="L572" s="619">
        <v>86</v>
      </c>
      <c r="M572" s="620">
        <v>81</v>
      </c>
      <c r="N572" s="619"/>
      <c r="O572" s="619">
        <v>10</v>
      </c>
      <c r="P572" s="619" t="s">
        <v>760</v>
      </c>
      <c r="Q572" s="662" t="s">
        <v>1002</v>
      </c>
      <c r="R572" s="618"/>
      <c r="S572" s="621" t="s">
        <v>1466</v>
      </c>
      <c r="T572" s="619" t="s">
        <v>1101</v>
      </c>
    </row>
    <row r="573" spans="1:20">
      <c r="A573" s="630">
        <v>1231460</v>
      </c>
      <c r="B573" s="628"/>
      <c r="C573" s="623"/>
      <c r="D573" s="623"/>
      <c r="E573" s="627" t="s">
        <v>1102</v>
      </c>
      <c r="F573" s="631" t="s">
        <v>1468</v>
      </c>
      <c r="G573" s="661">
        <v>123</v>
      </c>
      <c r="H573" s="633">
        <v>1460</v>
      </c>
      <c r="I573" s="618"/>
      <c r="J573" s="619" t="s">
        <v>1102</v>
      </c>
      <c r="K573" s="618"/>
      <c r="L573" s="619">
        <v>86</v>
      </c>
      <c r="M573" s="620">
        <v>81</v>
      </c>
      <c r="N573" s="619"/>
      <c r="O573" s="619">
        <v>10</v>
      </c>
      <c r="P573" s="619" t="s">
        <v>760</v>
      </c>
      <c r="Q573" s="662" t="s">
        <v>1002</v>
      </c>
      <c r="R573" s="618"/>
      <c r="S573" s="621" t="s">
        <v>1466</v>
      </c>
      <c r="T573" s="619" t="s">
        <v>1104</v>
      </c>
    </row>
    <row r="574" spans="1:20">
      <c r="A574" s="630">
        <v>1201460</v>
      </c>
      <c r="B574" s="628"/>
      <c r="C574" s="623"/>
      <c r="D574" s="623"/>
      <c r="E574" s="627" t="s">
        <v>1105</v>
      </c>
      <c r="F574" s="631" t="s">
        <v>1469</v>
      </c>
      <c r="G574" s="661">
        <v>120</v>
      </c>
      <c r="H574" s="633">
        <v>1460</v>
      </c>
      <c r="I574" s="618"/>
      <c r="J574" s="619" t="s">
        <v>1105</v>
      </c>
      <c r="K574" s="618"/>
      <c r="L574" s="619">
        <v>86</v>
      </c>
      <c r="M574" s="620">
        <v>81</v>
      </c>
      <c r="N574" s="619"/>
      <c r="O574" s="619">
        <v>10</v>
      </c>
      <c r="P574" s="619" t="s">
        <v>760</v>
      </c>
      <c r="Q574" s="662" t="s">
        <v>1002</v>
      </c>
      <c r="R574" s="618"/>
      <c r="S574" s="621" t="s">
        <v>1466</v>
      </c>
      <c r="T574" s="619" t="s">
        <v>1107</v>
      </c>
    </row>
    <row r="575" spans="1:20">
      <c r="A575" s="630">
        <v>1001460</v>
      </c>
      <c r="B575" s="628"/>
      <c r="C575" s="623"/>
      <c r="D575" s="623"/>
      <c r="E575" s="627" t="s">
        <v>1108</v>
      </c>
      <c r="F575" s="631" t="s">
        <v>1470</v>
      </c>
      <c r="G575" s="661">
        <v>100</v>
      </c>
      <c r="H575" s="633">
        <v>1460</v>
      </c>
      <c r="I575" s="618"/>
      <c r="J575" s="619" t="s">
        <v>1108</v>
      </c>
      <c r="K575" s="618"/>
      <c r="L575" s="619">
        <v>86</v>
      </c>
      <c r="M575" s="620">
        <v>81</v>
      </c>
      <c r="N575" s="619"/>
      <c r="O575" s="619">
        <v>10</v>
      </c>
      <c r="P575" s="619" t="s">
        <v>760</v>
      </c>
      <c r="Q575" s="662" t="s">
        <v>1002</v>
      </c>
      <c r="R575" s="618"/>
      <c r="S575" s="621" t="s">
        <v>1466</v>
      </c>
      <c r="T575" s="619" t="s">
        <v>1015</v>
      </c>
    </row>
    <row r="576" spans="1:20">
      <c r="A576" s="630">
        <v>1401460</v>
      </c>
      <c r="B576" s="628"/>
      <c r="C576" s="623"/>
      <c r="D576" s="623"/>
      <c r="E576" s="627" t="s">
        <v>1110</v>
      </c>
      <c r="F576" s="631" t="s">
        <v>1471</v>
      </c>
      <c r="G576" s="661">
        <v>140</v>
      </c>
      <c r="H576" s="633">
        <v>1460</v>
      </c>
      <c r="I576" s="618"/>
      <c r="J576" s="619" t="s">
        <v>1110</v>
      </c>
      <c r="K576" s="618"/>
      <c r="L576" s="619">
        <v>86</v>
      </c>
      <c r="M576" s="620">
        <v>81</v>
      </c>
      <c r="N576" s="619"/>
      <c r="O576" s="619">
        <v>10</v>
      </c>
      <c r="P576" s="619" t="s">
        <v>760</v>
      </c>
      <c r="Q576" s="662" t="s">
        <v>1002</v>
      </c>
      <c r="R576" s="618"/>
      <c r="S576" s="621" t="s">
        <v>1466</v>
      </c>
      <c r="T576" s="619" t="s">
        <v>1017</v>
      </c>
    </row>
    <row r="577" spans="1:20">
      <c r="A577" s="630">
        <v>3001460</v>
      </c>
      <c r="B577" s="628"/>
      <c r="C577" s="623"/>
      <c r="D577" s="623" t="s">
        <v>775</v>
      </c>
      <c r="E577" s="627" t="s">
        <v>1112</v>
      </c>
      <c r="F577" s="631" t="s">
        <v>1472</v>
      </c>
      <c r="G577" s="661">
        <v>300</v>
      </c>
      <c r="H577" s="633">
        <v>1460</v>
      </c>
      <c r="I577" s="618"/>
      <c r="J577" s="619" t="s">
        <v>1112</v>
      </c>
      <c r="K577" s="618"/>
      <c r="L577" s="619">
        <v>101</v>
      </c>
      <c r="M577" s="620">
        <v>96</v>
      </c>
      <c r="N577" s="619"/>
      <c r="O577" s="619">
        <v>10</v>
      </c>
      <c r="P577" s="619" t="s">
        <v>760</v>
      </c>
      <c r="Q577" s="662"/>
      <c r="R577" s="618"/>
      <c r="S577" s="621" t="s">
        <v>1466</v>
      </c>
      <c r="T577" s="619" t="s">
        <v>1112</v>
      </c>
    </row>
    <row r="578" spans="1:20">
      <c r="A578" s="622"/>
      <c r="B578" s="628"/>
      <c r="C578" s="623"/>
      <c r="D578" s="623" t="s">
        <v>799</v>
      </c>
      <c r="E578" s="627" t="s">
        <v>250</v>
      </c>
      <c r="F578" s="626"/>
      <c r="G578" s="623"/>
      <c r="H578" s="627"/>
      <c r="I578" s="618"/>
      <c r="J578" s="618"/>
      <c r="K578" s="618"/>
      <c r="L578" s="618"/>
      <c r="M578" s="618"/>
      <c r="N578" s="618"/>
      <c r="O578" s="618"/>
      <c r="P578" s="618"/>
      <c r="Q578" s="662"/>
      <c r="R578" s="618"/>
      <c r="S578" s="621"/>
      <c r="T578" s="618"/>
    </row>
    <row r="579" spans="1:20">
      <c r="A579" s="630">
        <v>4301460</v>
      </c>
      <c r="B579" s="628"/>
      <c r="C579" s="623"/>
      <c r="D579" s="623"/>
      <c r="E579" s="627" t="s">
        <v>1114</v>
      </c>
      <c r="F579" s="631" t="s">
        <v>1473</v>
      </c>
      <c r="G579" s="661">
        <v>430</v>
      </c>
      <c r="H579" s="633">
        <v>1460</v>
      </c>
      <c r="I579" s="618"/>
      <c r="J579" s="619" t="s">
        <v>1114</v>
      </c>
      <c r="K579" s="618"/>
      <c r="L579" s="619">
        <v>107</v>
      </c>
      <c r="M579" s="620">
        <v>102</v>
      </c>
      <c r="N579" s="619"/>
      <c r="O579" s="619">
        <v>10</v>
      </c>
      <c r="P579" s="619" t="s">
        <v>760</v>
      </c>
      <c r="Q579" s="662"/>
      <c r="R579" s="618"/>
      <c r="S579" s="621" t="s">
        <v>1466</v>
      </c>
      <c r="T579" s="619" t="s">
        <v>1021</v>
      </c>
    </row>
    <row r="580" spans="1:20">
      <c r="A580" s="630">
        <v>4421460</v>
      </c>
      <c r="B580" s="628"/>
      <c r="C580" s="623"/>
      <c r="D580" s="623"/>
      <c r="E580" s="627" t="s">
        <v>1116</v>
      </c>
      <c r="F580" s="631" t="s">
        <v>1474</v>
      </c>
      <c r="G580" s="661">
        <v>442</v>
      </c>
      <c r="H580" s="633">
        <v>1460</v>
      </c>
      <c r="I580" s="618"/>
      <c r="J580" s="619" t="s">
        <v>1116</v>
      </c>
      <c r="K580" s="618"/>
      <c r="L580" s="619">
        <v>106</v>
      </c>
      <c r="M580" s="620">
        <v>101</v>
      </c>
      <c r="N580" s="619"/>
      <c r="O580" s="619">
        <v>10</v>
      </c>
      <c r="P580" s="619" t="s">
        <v>760</v>
      </c>
      <c r="Q580" s="662"/>
      <c r="R580" s="618"/>
      <c r="S580" s="621" t="s">
        <v>1466</v>
      </c>
      <c r="T580" s="619" t="s">
        <v>1023</v>
      </c>
    </row>
    <row r="581" spans="1:20">
      <c r="A581" s="630">
        <v>4001460</v>
      </c>
      <c r="B581" s="628"/>
      <c r="C581" s="623"/>
      <c r="D581" s="623"/>
      <c r="E581" s="627" t="s">
        <v>1118</v>
      </c>
      <c r="F581" s="631" t="s">
        <v>1475</v>
      </c>
      <c r="G581" s="661">
        <v>400</v>
      </c>
      <c r="H581" s="633">
        <v>1460</v>
      </c>
      <c r="I581" s="618"/>
      <c r="J581" s="619" t="s">
        <v>1118</v>
      </c>
      <c r="K581" s="618"/>
      <c r="L581" s="619">
        <v>108</v>
      </c>
      <c r="M581" s="620">
        <v>103</v>
      </c>
      <c r="N581" s="619"/>
      <c r="O581" s="619">
        <v>10</v>
      </c>
      <c r="P581" s="619" t="s">
        <v>760</v>
      </c>
      <c r="Q581" s="662"/>
      <c r="R581" s="618"/>
      <c r="S581" s="621" t="s">
        <v>1466</v>
      </c>
      <c r="T581" s="619" t="s">
        <v>1025</v>
      </c>
    </row>
    <row r="582" spans="1:20">
      <c r="A582" s="622"/>
      <c r="B582" s="628"/>
      <c r="C582" s="623"/>
      <c r="D582" s="623" t="s">
        <v>803</v>
      </c>
      <c r="E582" s="627" t="s">
        <v>252</v>
      </c>
      <c r="F582" s="626"/>
      <c r="G582" s="623"/>
      <c r="H582" s="627"/>
      <c r="I582" s="618"/>
      <c r="J582" s="618"/>
      <c r="K582" s="618"/>
      <c r="L582" s="618"/>
      <c r="M582" s="618"/>
      <c r="N582" s="618"/>
      <c r="O582" s="618"/>
      <c r="P582" s="618"/>
      <c r="Q582" s="662"/>
      <c r="R582" s="618"/>
      <c r="S582" s="621"/>
      <c r="T582" s="618"/>
    </row>
    <row r="583" spans="1:20">
      <c r="A583" s="622"/>
      <c r="B583" s="628"/>
      <c r="C583" s="623"/>
      <c r="D583" s="623"/>
      <c r="E583" s="627" t="s">
        <v>1476</v>
      </c>
      <c r="F583" s="626"/>
      <c r="G583" s="623"/>
      <c r="H583" s="627"/>
      <c r="I583" s="618"/>
      <c r="J583" s="618"/>
      <c r="K583" s="618"/>
      <c r="L583" s="618"/>
      <c r="M583" s="618"/>
      <c r="N583" s="618"/>
      <c r="O583" s="618"/>
      <c r="P583" s="618"/>
      <c r="Q583" s="662"/>
      <c r="R583" s="618"/>
      <c r="S583" s="621"/>
      <c r="T583" s="618"/>
    </row>
    <row r="584" spans="1:20">
      <c r="A584" s="630">
        <v>5611460</v>
      </c>
      <c r="B584" s="628"/>
      <c r="C584" s="623"/>
      <c r="D584" s="623"/>
      <c r="E584" s="627" t="s">
        <v>1121</v>
      </c>
      <c r="F584" s="631" t="s">
        <v>1477</v>
      </c>
      <c r="G584" s="661">
        <v>561</v>
      </c>
      <c r="H584" s="633">
        <v>1460</v>
      </c>
      <c r="I584" s="618"/>
      <c r="J584" s="619" t="s">
        <v>1121</v>
      </c>
      <c r="K584" s="618"/>
      <c r="L584" s="619">
        <v>119</v>
      </c>
      <c r="M584" s="620">
        <v>110</v>
      </c>
      <c r="N584" s="619"/>
      <c r="O584" s="619">
        <v>10</v>
      </c>
      <c r="P584" s="619" t="s">
        <v>760</v>
      </c>
      <c r="Q584" s="662"/>
      <c r="R584" s="618"/>
      <c r="S584" s="621" t="s">
        <v>1466</v>
      </c>
      <c r="T584" s="619" t="s">
        <v>1030</v>
      </c>
    </row>
    <row r="585" spans="1:20">
      <c r="A585" s="630">
        <v>5621460</v>
      </c>
      <c r="B585" s="628"/>
      <c r="C585" s="623"/>
      <c r="D585" s="623"/>
      <c r="E585" s="627" t="s">
        <v>1123</v>
      </c>
      <c r="F585" s="631" t="s">
        <v>1478</v>
      </c>
      <c r="G585" s="661">
        <v>562</v>
      </c>
      <c r="H585" s="633">
        <v>1460</v>
      </c>
      <c r="I585" s="618"/>
      <c r="J585" s="619" t="s">
        <v>1123</v>
      </c>
      <c r="K585" s="618"/>
      <c r="L585" s="619">
        <v>119</v>
      </c>
      <c r="M585" s="620">
        <v>110</v>
      </c>
      <c r="N585" s="619"/>
      <c r="O585" s="619">
        <v>10</v>
      </c>
      <c r="P585" s="619" t="s">
        <v>760</v>
      </c>
      <c r="Q585" s="662"/>
      <c r="R585" s="618"/>
      <c r="S585" s="621" t="s">
        <v>1466</v>
      </c>
      <c r="T585" s="619" t="s">
        <v>1033</v>
      </c>
    </row>
    <row r="586" spans="1:20">
      <c r="A586" s="630">
        <v>5631460</v>
      </c>
      <c r="B586" s="628"/>
      <c r="C586" s="623"/>
      <c r="D586" s="623"/>
      <c r="E586" s="627" t="s">
        <v>1304</v>
      </c>
      <c r="F586" s="631" t="s">
        <v>1479</v>
      </c>
      <c r="G586" s="661">
        <v>563</v>
      </c>
      <c r="H586" s="633">
        <v>1460</v>
      </c>
      <c r="I586" s="618"/>
      <c r="J586" s="619" t="s">
        <v>1304</v>
      </c>
      <c r="K586" s="618"/>
      <c r="L586" s="619">
        <v>119</v>
      </c>
      <c r="M586" s="620">
        <v>110</v>
      </c>
      <c r="N586" s="619"/>
      <c r="O586" s="619">
        <v>10</v>
      </c>
      <c r="P586" s="619" t="s">
        <v>760</v>
      </c>
      <c r="Q586" s="662"/>
      <c r="R586" s="618"/>
      <c r="S586" s="621" t="s">
        <v>1466</v>
      </c>
      <c r="T586" s="619" t="s">
        <v>1036</v>
      </c>
    </row>
    <row r="587" spans="1:20">
      <c r="A587" s="630">
        <v>5821460</v>
      </c>
      <c r="B587" s="628"/>
      <c r="C587" s="623"/>
      <c r="D587" s="623"/>
      <c r="E587" s="627" t="s">
        <v>1134</v>
      </c>
      <c r="F587" s="631" t="s">
        <v>1480</v>
      </c>
      <c r="G587" s="661">
        <v>582</v>
      </c>
      <c r="H587" s="633">
        <v>1460</v>
      </c>
      <c r="I587" s="618"/>
      <c r="J587" s="619" t="s">
        <v>1134</v>
      </c>
      <c r="K587" s="618"/>
      <c r="L587" s="619">
        <v>118</v>
      </c>
      <c r="M587" s="620">
        <v>109</v>
      </c>
      <c r="N587" s="619"/>
      <c r="O587" s="619">
        <v>10</v>
      </c>
      <c r="P587" s="619" t="s">
        <v>760</v>
      </c>
      <c r="Q587" s="662"/>
      <c r="R587" s="618"/>
      <c r="S587" s="621" t="s">
        <v>1466</v>
      </c>
      <c r="T587" s="619" t="s">
        <v>1037</v>
      </c>
    </row>
    <row r="588" spans="1:20">
      <c r="A588" s="630">
        <v>5001460</v>
      </c>
      <c r="B588" s="670"/>
      <c r="C588" s="632"/>
      <c r="D588" s="632"/>
      <c r="E588" s="637" t="s">
        <v>1136</v>
      </c>
      <c r="F588" s="631" t="s">
        <v>1481</v>
      </c>
      <c r="G588" s="661">
        <v>500</v>
      </c>
      <c r="H588" s="633">
        <v>1460</v>
      </c>
      <c r="I588" s="618"/>
      <c r="J588" s="619" t="s">
        <v>1136</v>
      </c>
      <c r="K588" s="618"/>
      <c r="L588" s="619">
        <v>119</v>
      </c>
      <c r="M588" s="620">
        <v>110</v>
      </c>
      <c r="N588" s="619"/>
      <c r="O588" s="619">
        <v>10</v>
      </c>
      <c r="P588" s="619" t="s">
        <v>760</v>
      </c>
      <c r="Q588" s="662"/>
      <c r="R588" s="618"/>
      <c r="S588" s="621" t="s">
        <v>1466</v>
      </c>
      <c r="T588" s="619" t="s">
        <v>252</v>
      </c>
    </row>
    <row r="589" spans="1:20">
      <c r="A589" s="622"/>
      <c r="B589" s="628"/>
      <c r="C589" s="623"/>
      <c r="D589" s="623" t="s">
        <v>848</v>
      </c>
      <c r="E589" s="627" t="s">
        <v>1040</v>
      </c>
      <c r="F589" s="626"/>
      <c r="G589" s="623"/>
      <c r="H589" s="627"/>
      <c r="I589" s="618"/>
      <c r="J589" s="618"/>
      <c r="K589" s="618"/>
      <c r="L589" s="618"/>
      <c r="M589" s="618"/>
      <c r="N589" s="618"/>
      <c r="O589" s="618"/>
      <c r="P589" s="618"/>
      <c r="Q589" s="662"/>
      <c r="R589" s="618"/>
      <c r="S589" s="621"/>
      <c r="T589" s="618"/>
    </row>
    <row r="590" spans="1:20">
      <c r="A590" s="630">
        <v>6151460</v>
      </c>
      <c r="B590" s="628"/>
      <c r="C590" s="623"/>
      <c r="D590" s="623"/>
      <c r="E590" s="627" t="s">
        <v>1138</v>
      </c>
      <c r="F590" s="631" t="s">
        <v>1482</v>
      </c>
      <c r="G590" s="661">
        <v>615</v>
      </c>
      <c r="H590" s="633">
        <v>1460</v>
      </c>
      <c r="I590" s="618"/>
      <c r="J590" s="619" t="s">
        <v>1138</v>
      </c>
      <c r="K590" s="618"/>
      <c r="L590" s="619">
        <v>126</v>
      </c>
      <c r="M590" s="620">
        <v>117</v>
      </c>
      <c r="N590" s="619"/>
      <c r="O590" s="619">
        <v>10</v>
      </c>
      <c r="P590" s="619" t="s">
        <v>760</v>
      </c>
      <c r="Q590" s="662" t="s">
        <v>1043</v>
      </c>
      <c r="R590" s="618"/>
      <c r="S590" s="621" t="s">
        <v>1466</v>
      </c>
      <c r="T590" s="619" t="s">
        <v>1041</v>
      </c>
    </row>
    <row r="591" spans="1:20">
      <c r="A591" s="630">
        <v>6101460</v>
      </c>
      <c r="B591" s="628"/>
      <c r="C591" s="623"/>
      <c r="D591" s="623"/>
      <c r="E591" s="627" t="s">
        <v>1140</v>
      </c>
      <c r="F591" s="631" t="s">
        <v>1483</v>
      </c>
      <c r="G591" s="661">
        <v>610</v>
      </c>
      <c r="H591" s="633">
        <v>1460</v>
      </c>
      <c r="I591" s="618"/>
      <c r="J591" s="619" t="s">
        <v>1140</v>
      </c>
      <c r="K591" s="618"/>
      <c r="L591" s="619">
        <v>122</v>
      </c>
      <c r="M591" s="620">
        <v>113</v>
      </c>
      <c r="N591" s="619"/>
      <c r="O591" s="619">
        <v>10</v>
      </c>
      <c r="P591" s="619" t="s">
        <v>760</v>
      </c>
      <c r="Q591" s="662" t="s">
        <v>1043</v>
      </c>
      <c r="R591" s="618"/>
      <c r="S591" s="621" t="s">
        <v>1466</v>
      </c>
      <c r="T591" s="619" t="s">
        <v>39</v>
      </c>
    </row>
    <row r="592" spans="1:20">
      <c r="A592" s="630">
        <v>6421460</v>
      </c>
      <c r="B592" s="628"/>
      <c r="C592" s="623"/>
      <c r="D592" s="623"/>
      <c r="E592" s="627" t="s">
        <v>1142</v>
      </c>
      <c r="F592" s="631" t="s">
        <v>1484</v>
      </c>
      <c r="G592" s="661">
        <v>642</v>
      </c>
      <c r="H592" s="633">
        <v>1460</v>
      </c>
      <c r="I592" s="618"/>
      <c r="J592" s="619" t="s">
        <v>1142</v>
      </c>
      <c r="K592" s="618"/>
      <c r="L592" s="619">
        <v>125</v>
      </c>
      <c r="M592" s="620">
        <v>116</v>
      </c>
      <c r="N592" s="619"/>
      <c r="O592" s="619">
        <v>10</v>
      </c>
      <c r="P592" s="619" t="s">
        <v>760</v>
      </c>
      <c r="Q592" s="662" t="s">
        <v>1043</v>
      </c>
      <c r="R592" s="618"/>
      <c r="S592" s="621" t="s">
        <v>1466</v>
      </c>
      <c r="T592" s="619" t="s">
        <v>1046</v>
      </c>
    </row>
    <row r="593" spans="1:20">
      <c r="A593" s="630">
        <v>6001460</v>
      </c>
      <c r="B593" s="628"/>
      <c r="C593" s="623"/>
      <c r="D593" s="623"/>
      <c r="E593" s="627" t="s">
        <v>1144</v>
      </c>
      <c r="F593" s="631" t="s">
        <v>1485</v>
      </c>
      <c r="G593" s="661">
        <v>600</v>
      </c>
      <c r="H593" s="633">
        <v>1460</v>
      </c>
      <c r="I593" s="618"/>
      <c r="J593" s="619" t="s">
        <v>1144</v>
      </c>
      <c r="K593" s="618"/>
      <c r="L593" s="619">
        <v>126</v>
      </c>
      <c r="M593" s="620">
        <v>117</v>
      </c>
      <c r="N593" s="619"/>
      <c r="O593" s="619">
        <v>10</v>
      </c>
      <c r="P593" s="619" t="s">
        <v>760</v>
      </c>
      <c r="Q593" s="662"/>
      <c r="R593" s="618"/>
      <c r="S593" s="621" t="s">
        <v>1466</v>
      </c>
      <c r="T593" s="619" t="s">
        <v>1048</v>
      </c>
    </row>
    <row r="594" spans="1:20">
      <c r="A594" s="622"/>
      <c r="B594" s="628"/>
      <c r="C594" s="623"/>
      <c r="D594" s="623" t="s">
        <v>851</v>
      </c>
      <c r="E594" s="627" t="s">
        <v>1050</v>
      </c>
      <c r="F594" s="626"/>
      <c r="G594" s="623"/>
      <c r="H594" s="627"/>
      <c r="I594" s="618"/>
      <c r="J594" s="618"/>
      <c r="K594" s="618"/>
      <c r="L594" s="618"/>
      <c r="M594" s="618"/>
      <c r="N594" s="618"/>
      <c r="O594" s="618"/>
      <c r="P594" s="618"/>
      <c r="Q594" s="662"/>
      <c r="R594" s="618"/>
      <c r="S594" s="621"/>
      <c r="T594" s="618"/>
    </row>
    <row r="595" spans="1:20">
      <c r="A595" s="630">
        <v>7341460</v>
      </c>
      <c r="B595" s="628"/>
      <c r="C595" s="623"/>
      <c r="D595" s="623"/>
      <c r="E595" s="627" t="s">
        <v>1146</v>
      </c>
      <c r="F595" s="631" t="s">
        <v>1486</v>
      </c>
      <c r="G595" s="661">
        <v>734</v>
      </c>
      <c r="H595" s="633">
        <v>1460</v>
      </c>
      <c r="I595" s="618"/>
      <c r="J595" s="619" t="s">
        <v>1146</v>
      </c>
      <c r="K595" s="618"/>
      <c r="L595" s="619">
        <v>131</v>
      </c>
      <c r="M595" s="620">
        <v>122</v>
      </c>
      <c r="N595" s="619"/>
      <c r="O595" s="619">
        <v>10</v>
      </c>
      <c r="P595" s="619" t="s">
        <v>760</v>
      </c>
      <c r="Q595" s="662"/>
      <c r="R595" s="618"/>
      <c r="S595" s="621" t="s">
        <v>1466</v>
      </c>
      <c r="T595" s="619" t="s">
        <v>1051</v>
      </c>
    </row>
    <row r="596" spans="1:20">
      <c r="A596" s="630">
        <v>7351460</v>
      </c>
      <c r="B596" s="628"/>
      <c r="C596" s="623"/>
      <c r="D596" s="623"/>
      <c r="E596" s="627" t="s">
        <v>1148</v>
      </c>
      <c r="F596" s="631" t="s">
        <v>1487</v>
      </c>
      <c r="G596" s="661">
        <v>735</v>
      </c>
      <c r="H596" s="633">
        <v>1460</v>
      </c>
      <c r="I596" s="618"/>
      <c r="J596" s="619" t="s">
        <v>1148</v>
      </c>
      <c r="K596" s="618"/>
      <c r="L596" s="619">
        <v>131</v>
      </c>
      <c r="M596" s="620">
        <v>122</v>
      </c>
      <c r="N596" s="619"/>
      <c r="O596" s="619">
        <v>10</v>
      </c>
      <c r="P596" s="619" t="s">
        <v>760</v>
      </c>
      <c r="Q596" s="662"/>
      <c r="R596" s="618"/>
      <c r="S596" s="621" t="s">
        <v>1466</v>
      </c>
      <c r="T596" s="619" t="s">
        <v>1053</v>
      </c>
    </row>
    <row r="597" spans="1:20">
      <c r="A597" s="630">
        <v>7301460</v>
      </c>
      <c r="B597" s="628"/>
      <c r="C597" s="623"/>
      <c r="D597" s="623"/>
      <c r="E597" s="627" t="s">
        <v>1150</v>
      </c>
      <c r="F597" s="631" t="s">
        <v>1488</v>
      </c>
      <c r="G597" s="661">
        <v>730</v>
      </c>
      <c r="H597" s="633">
        <v>1460</v>
      </c>
      <c r="I597" s="618"/>
      <c r="J597" s="619" t="s">
        <v>1150</v>
      </c>
      <c r="K597" s="618"/>
      <c r="L597" s="619">
        <v>131</v>
      </c>
      <c r="M597" s="620">
        <v>122</v>
      </c>
      <c r="N597" s="619"/>
      <c r="O597" s="619">
        <v>10</v>
      </c>
      <c r="P597" s="619" t="s">
        <v>760</v>
      </c>
      <c r="Q597" s="662"/>
      <c r="R597" s="618"/>
      <c r="S597" s="621" t="s">
        <v>1466</v>
      </c>
      <c r="T597" s="619" t="s">
        <v>1055</v>
      </c>
    </row>
    <row r="598" spans="1:20">
      <c r="A598" s="630">
        <v>7001460</v>
      </c>
      <c r="B598" s="628"/>
      <c r="C598" s="623"/>
      <c r="D598" s="623"/>
      <c r="E598" s="627" t="s">
        <v>1152</v>
      </c>
      <c r="F598" s="631" t="s">
        <v>1489</v>
      </c>
      <c r="G598" s="661">
        <v>700</v>
      </c>
      <c r="H598" s="633">
        <v>1460</v>
      </c>
      <c r="I598" s="618"/>
      <c r="J598" s="619" t="s">
        <v>1152</v>
      </c>
      <c r="K598" s="618"/>
      <c r="L598" s="619">
        <v>132</v>
      </c>
      <c r="M598" s="620">
        <v>123</v>
      </c>
      <c r="N598" s="619"/>
      <c r="O598" s="619">
        <v>10</v>
      </c>
      <c r="P598" s="619" t="s">
        <v>760</v>
      </c>
      <c r="Q598" s="662"/>
      <c r="R598" s="618"/>
      <c r="S598" s="621" t="s">
        <v>1466</v>
      </c>
      <c r="T598" s="619" t="s">
        <v>1057</v>
      </c>
    </row>
    <row r="599" spans="1:20">
      <c r="A599" s="622"/>
      <c r="B599" s="628"/>
      <c r="C599" s="623"/>
      <c r="D599" s="623" t="s">
        <v>854</v>
      </c>
      <c r="E599" s="627" t="s">
        <v>256</v>
      </c>
      <c r="F599" s="626"/>
      <c r="G599" s="623"/>
      <c r="H599" s="627"/>
      <c r="I599" s="618"/>
      <c r="J599" s="618"/>
      <c r="K599" s="618"/>
      <c r="L599" s="618"/>
      <c r="M599" s="618"/>
      <c r="N599" s="618"/>
      <c r="O599" s="618"/>
      <c r="P599" s="618"/>
      <c r="Q599" s="662"/>
      <c r="R599" s="618"/>
      <c r="S599" s="621"/>
      <c r="T599" s="618"/>
    </row>
    <row r="600" spans="1:20">
      <c r="A600" s="630">
        <v>8951460</v>
      </c>
      <c r="B600" s="628"/>
      <c r="C600" s="623"/>
      <c r="D600" s="623"/>
      <c r="E600" s="627" t="s">
        <v>1154</v>
      </c>
      <c r="F600" s="631" t="s">
        <v>1490</v>
      </c>
      <c r="G600" s="661">
        <v>895</v>
      </c>
      <c r="H600" s="633">
        <v>1460</v>
      </c>
      <c r="I600" s="618"/>
      <c r="J600" s="619" t="s">
        <v>1154</v>
      </c>
      <c r="K600" s="618"/>
      <c r="L600" s="619">
        <v>139</v>
      </c>
      <c r="M600" s="620">
        <v>129</v>
      </c>
      <c r="N600" s="619"/>
      <c r="O600" s="619">
        <v>10</v>
      </c>
      <c r="P600" s="619" t="s">
        <v>760</v>
      </c>
      <c r="Q600" s="662"/>
      <c r="R600" s="618"/>
      <c r="S600" s="621" t="s">
        <v>1466</v>
      </c>
      <c r="T600" s="619" t="s">
        <v>1059</v>
      </c>
    </row>
    <row r="601" spans="1:20">
      <c r="A601" s="630">
        <v>8001460</v>
      </c>
      <c r="B601" s="628"/>
      <c r="C601" s="623"/>
      <c r="D601" s="623"/>
      <c r="E601" s="627" t="s">
        <v>1156</v>
      </c>
      <c r="F601" s="631" t="s">
        <v>1491</v>
      </c>
      <c r="G601" s="661">
        <v>800</v>
      </c>
      <c r="H601" s="633">
        <v>1460</v>
      </c>
      <c r="I601" s="618"/>
      <c r="J601" s="619" t="s">
        <v>1156</v>
      </c>
      <c r="K601" s="618"/>
      <c r="L601" s="619">
        <v>139</v>
      </c>
      <c r="M601" s="620">
        <v>129</v>
      </c>
      <c r="N601" s="619"/>
      <c r="O601" s="619">
        <v>10</v>
      </c>
      <c r="P601" s="619" t="s">
        <v>760</v>
      </c>
      <c r="Q601" s="662"/>
      <c r="R601" s="618"/>
      <c r="S601" s="621" t="s">
        <v>1466</v>
      </c>
      <c r="T601" s="619" t="s">
        <v>1061</v>
      </c>
    </row>
    <row r="602" spans="1:20">
      <c r="A602" s="622"/>
      <c r="B602" s="628"/>
      <c r="C602" s="623"/>
      <c r="D602" s="623" t="s">
        <v>857</v>
      </c>
      <c r="E602" s="627" t="s">
        <v>1063</v>
      </c>
      <c r="F602" s="626"/>
      <c r="G602" s="623"/>
      <c r="H602" s="627"/>
      <c r="I602" s="618"/>
      <c r="J602" s="618"/>
      <c r="K602" s="618"/>
      <c r="L602" s="618"/>
      <c r="M602" s="618"/>
      <c r="N602" s="618"/>
      <c r="O602" s="618"/>
      <c r="P602" s="618"/>
      <c r="Q602" s="662"/>
      <c r="R602" s="618"/>
      <c r="S602" s="621"/>
      <c r="T602" s="618"/>
    </row>
    <row r="603" spans="1:20">
      <c r="A603" s="630">
        <v>2101460</v>
      </c>
      <c r="B603" s="628"/>
      <c r="C603" s="623"/>
      <c r="D603" s="623"/>
      <c r="E603" s="627" t="s">
        <v>1158</v>
      </c>
      <c r="F603" s="631" t="s">
        <v>1492</v>
      </c>
      <c r="G603" s="661">
        <v>210</v>
      </c>
      <c r="H603" s="633">
        <v>1460</v>
      </c>
      <c r="I603" s="618"/>
      <c r="J603" s="619" t="s">
        <v>1158</v>
      </c>
      <c r="K603" s="618"/>
      <c r="L603" s="619">
        <v>89</v>
      </c>
      <c r="M603" s="620">
        <v>84</v>
      </c>
      <c r="N603" s="619"/>
      <c r="O603" s="619">
        <v>10</v>
      </c>
      <c r="P603" s="619" t="s">
        <v>760</v>
      </c>
      <c r="Q603" s="662" t="s">
        <v>1002</v>
      </c>
      <c r="R603" s="618"/>
      <c r="S603" s="621" t="s">
        <v>1466</v>
      </c>
      <c r="T603" s="619" t="s">
        <v>1064</v>
      </c>
    </row>
    <row r="604" spans="1:20">
      <c r="A604" s="630">
        <v>2201460</v>
      </c>
      <c r="B604" s="628"/>
      <c r="C604" s="623"/>
      <c r="D604" s="623"/>
      <c r="E604" s="627" t="s">
        <v>1160</v>
      </c>
      <c r="F604" s="631" t="s">
        <v>1493</v>
      </c>
      <c r="G604" s="661">
        <v>220</v>
      </c>
      <c r="H604" s="633">
        <v>1460</v>
      </c>
      <c r="I604" s="618"/>
      <c r="J604" s="619" t="s">
        <v>1160</v>
      </c>
      <c r="K604" s="618"/>
      <c r="L604" s="619">
        <v>90</v>
      </c>
      <c r="M604" s="620">
        <v>85</v>
      </c>
      <c r="N604" s="619"/>
      <c r="O604" s="619">
        <v>10</v>
      </c>
      <c r="P604" s="619" t="s">
        <v>760</v>
      </c>
      <c r="Q604" s="662" t="s">
        <v>1002</v>
      </c>
      <c r="R604" s="618"/>
      <c r="S604" s="621" t="s">
        <v>1466</v>
      </c>
      <c r="T604" s="619" t="s">
        <v>1066</v>
      </c>
    </row>
    <row r="605" spans="1:20">
      <c r="A605" s="630">
        <v>2251460</v>
      </c>
      <c r="B605" s="628"/>
      <c r="C605" s="623"/>
      <c r="D605" s="623"/>
      <c r="E605" s="627" t="s">
        <v>1162</v>
      </c>
      <c r="F605" s="631" t="s">
        <v>1494</v>
      </c>
      <c r="G605" s="661">
        <v>225</v>
      </c>
      <c r="H605" s="633">
        <v>1460</v>
      </c>
      <c r="I605" s="618"/>
      <c r="J605" s="619" t="s">
        <v>1162</v>
      </c>
      <c r="K605" s="618"/>
      <c r="L605" s="619">
        <v>91</v>
      </c>
      <c r="M605" s="620">
        <v>86</v>
      </c>
      <c r="N605" s="619"/>
      <c r="O605" s="619">
        <v>10</v>
      </c>
      <c r="P605" s="619" t="s">
        <v>760</v>
      </c>
      <c r="Q605" s="662" t="s">
        <v>1002</v>
      </c>
      <c r="R605" s="618"/>
      <c r="S605" s="621" t="s">
        <v>1466</v>
      </c>
      <c r="T605" s="619" t="s">
        <v>23</v>
      </c>
    </row>
    <row r="606" spans="1:20">
      <c r="A606" s="622"/>
      <c r="B606" s="628"/>
      <c r="C606" s="623"/>
      <c r="D606" s="623"/>
      <c r="E606" s="627" t="s">
        <v>1164</v>
      </c>
      <c r="F606" s="626"/>
      <c r="G606" s="623"/>
      <c r="H606" s="627"/>
      <c r="I606" s="618"/>
      <c r="J606" s="618"/>
      <c r="K606" s="618"/>
      <c r="L606" s="618"/>
      <c r="M606" s="618"/>
      <c r="N606" s="618"/>
      <c r="O606" s="618"/>
      <c r="P606" s="618"/>
      <c r="Q606" s="662"/>
      <c r="R606" s="618"/>
      <c r="S606" s="621"/>
      <c r="T606" s="618"/>
    </row>
    <row r="607" spans="1:20">
      <c r="A607" s="630">
        <v>2311460</v>
      </c>
      <c r="B607" s="628"/>
      <c r="C607" s="623"/>
      <c r="D607" s="623"/>
      <c r="E607" s="627" t="s">
        <v>1165</v>
      </c>
      <c r="F607" s="631" t="s">
        <v>1495</v>
      </c>
      <c r="G607" s="661">
        <v>231</v>
      </c>
      <c r="H607" s="633">
        <v>1460</v>
      </c>
      <c r="I607" s="618"/>
      <c r="J607" s="619" t="s">
        <v>1165</v>
      </c>
      <c r="K607" s="618"/>
      <c r="L607" s="619">
        <v>92</v>
      </c>
      <c r="M607" s="620">
        <v>87</v>
      </c>
      <c r="N607" s="619"/>
      <c r="O607" s="619">
        <v>10</v>
      </c>
      <c r="P607" s="619" t="s">
        <v>760</v>
      </c>
      <c r="Q607" s="662" t="s">
        <v>1002</v>
      </c>
      <c r="R607" s="618"/>
      <c r="S607" s="621" t="s">
        <v>1466</v>
      </c>
      <c r="T607" s="619" t="s">
        <v>1072</v>
      </c>
    </row>
    <row r="608" spans="1:20">
      <c r="A608" s="630">
        <v>2331460</v>
      </c>
      <c r="B608" s="628"/>
      <c r="C608" s="623"/>
      <c r="D608" s="623"/>
      <c r="E608" s="627" t="s">
        <v>1167</v>
      </c>
      <c r="F608" s="631" t="s">
        <v>1496</v>
      </c>
      <c r="G608" s="661">
        <v>233</v>
      </c>
      <c r="H608" s="633">
        <v>1460</v>
      </c>
      <c r="I608" s="618"/>
      <c r="J608" s="619" t="s">
        <v>1167</v>
      </c>
      <c r="K608" s="618"/>
      <c r="L608" s="619">
        <v>92</v>
      </c>
      <c r="M608" s="620">
        <v>87</v>
      </c>
      <c r="N608" s="619"/>
      <c r="O608" s="619">
        <v>10</v>
      </c>
      <c r="P608" s="619" t="s">
        <v>760</v>
      </c>
      <c r="Q608" s="662" t="s">
        <v>1002</v>
      </c>
      <c r="R608" s="618"/>
      <c r="S608" s="621" t="s">
        <v>1466</v>
      </c>
      <c r="T608" s="619" t="s">
        <v>1169</v>
      </c>
    </row>
    <row r="609" spans="1:20">
      <c r="A609" s="630">
        <v>2391460</v>
      </c>
      <c r="B609" s="628"/>
      <c r="C609" s="623"/>
      <c r="D609" s="623"/>
      <c r="E609" s="627" t="s">
        <v>1170</v>
      </c>
      <c r="F609" s="631" t="s">
        <v>1497</v>
      </c>
      <c r="G609" s="661">
        <v>239</v>
      </c>
      <c r="H609" s="633">
        <v>1460</v>
      </c>
      <c r="I609" s="618"/>
      <c r="J609" s="619" t="s">
        <v>1170</v>
      </c>
      <c r="K609" s="618"/>
      <c r="L609" s="619">
        <v>92</v>
      </c>
      <c r="M609" s="620">
        <v>87</v>
      </c>
      <c r="N609" s="619"/>
      <c r="O609" s="619">
        <v>10</v>
      </c>
      <c r="P609" s="619" t="s">
        <v>760</v>
      </c>
      <c r="Q609" s="662" t="s">
        <v>1002</v>
      </c>
      <c r="R609" s="618"/>
      <c r="S609" s="621" t="s">
        <v>1466</v>
      </c>
      <c r="T609" s="619" t="s">
        <v>1078</v>
      </c>
    </row>
    <row r="610" spans="1:20">
      <c r="A610" s="630">
        <v>2501460</v>
      </c>
      <c r="B610" s="628"/>
      <c r="C610" s="623"/>
      <c r="D610" s="623"/>
      <c r="E610" s="627" t="s">
        <v>1172</v>
      </c>
      <c r="F610" s="631" t="s">
        <v>1498</v>
      </c>
      <c r="G610" s="661">
        <v>250</v>
      </c>
      <c r="H610" s="633">
        <v>1460</v>
      </c>
      <c r="I610" s="618"/>
      <c r="J610" s="619" t="s">
        <v>1172</v>
      </c>
      <c r="K610" s="618"/>
      <c r="L610" s="619">
        <v>93</v>
      </c>
      <c r="M610" s="620">
        <v>88</v>
      </c>
      <c r="N610" s="619"/>
      <c r="O610" s="619">
        <v>10</v>
      </c>
      <c r="P610" s="619" t="s">
        <v>760</v>
      </c>
      <c r="Q610" s="662" t="s">
        <v>1002</v>
      </c>
      <c r="R610" s="618"/>
      <c r="S610" s="621" t="s">
        <v>1466</v>
      </c>
      <c r="T610" s="619" t="s">
        <v>1079</v>
      </c>
    </row>
    <row r="611" spans="1:20">
      <c r="A611" s="630">
        <v>2601460</v>
      </c>
      <c r="B611" s="628"/>
      <c r="C611" s="623"/>
      <c r="D611" s="623"/>
      <c r="E611" s="627" t="s">
        <v>1174</v>
      </c>
      <c r="F611" s="631" t="s">
        <v>1499</v>
      </c>
      <c r="G611" s="661">
        <v>260</v>
      </c>
      <c r="H611" s="633">
        <v>1460</v>
      </c>
      <c r="I611" s="618"/>
      <c r="J611" s="619" t="s">
        <v>1174</v>
      </c>
      <c r="K611" s="618"/>
      <c r="L611" s="619">
        <v>95</v>
      </c>
      <c r="M611" s="620">
        <v>90</v>
      </c>
      <c r="N611" s="619"/>
      <c r="O611" s="619">
        <v>10</v>
      </c>
      <c r="P611" s="619" t="s">
        <v>760</v>
      </c>
      <c r="Q611" s="662" t="s">
        <v>1002</v>
      </c>
      <c r="R611" s="618"/>
      <c r="S611" s="621" t="s">
        <v>1466</v>
      </c>
      <c r="T611" s="619" t="s">
        <v>1081</v>
      </c>
    </row>
    <row r="612" spans="1:20">
      <c r="A612" s="630">
        <v>2701460</v>
      </c>
      <c r="B612" s="628"/>
      <c r="C612" s="623"/>
      <c r="D612" s="623"/>
      <c r="E612" s="627" t="s">
        <v>1176</v>
      </c>
      <c r="F612" s="631" t="s">
        <v>1500</v>
      </c>
      <c r="G612" s="661">
        <v>270</v>
      </c>
      <c r="H612" s="633">
        <v>1460</v>
      </c>
      <c r="I612" s="618"/>
      <c r="J612" s="619" t="s">
        <v>1176</v>
      </c>
      <c r="K612" s="618"/>
      <c r="L612" s="619">
        <v>94</v>
      </c>
      <c r="M612" s="620">
        <v>89</v>
      </c>
      <c r="N612" s="619"/>
      <c r="O612" s="619">
        <v>10</v>
      </c>
      <c r="P612" s="619" t="s">
        <v>760</v>
      </c>
      <c r="Q612" s="662" t="s">
        <v>1002</v>
      </c>
      <c r="R612" s="618"/>
      <c r="S612" s="621" t="s">
        <v>1466</v>
      </c>
      <c r="T612" s="619" t="s">
        <v>1083</v>
      </c>
    </row>
    <row r="613" spans="1:20">
      <c r="A613" s="630">
        <v>2811460</v>
      </c>
      <c r="B613" s="628"/>
      <c r="C613" s="623"/>
      <c r="D613" s="623"/>
      <c r="E613" s="627" t="s">
        <v>1178</v>
      </c>
      <c r="F613" s="631" t="s">
        <v>1501</v>
      </c>
      <c r="G613" s="661">
        <v>281</v>
      </c>
      <c r="H613" s="633">
        <v>1460</v>
      </c>
      <c r="I613" s="618"/>
      <c r="J613" s="619" t="s">
        <v>1178</v>
      </c>
      <c r="K613" s="618"/>
      <c r="L613" s="619">
        <v>95</v>
      </c>
      <c r="M613" s="620">
        <v>90</v>
      </c>
      <c r="N613" s="619"/>
      <c r="O613" s="619">
        <v>10</v>
      </c>
      <c r="P613" s="619" t="s">
        <v>760</v>
      </c>
      <c r="Q613" s="662" t="s">
        <v>1002</v>
      </c>
      <c r="R613" s="618"/>
      <c r="S613" s="621" t="s">
        <v>1466</v>
      </c>
      <c r="T613" s="619" t="s">
        <v>1085</v>
      </c>
    </row>
    <row r="614" spans="1:20">
      <c r="A614" s="630">
        <v>2821460</v>
      </c>
      <c r="B614" s="628"/>
      <c r="C614" s="623"/>
      <c r="D614" s="623"/>
      <c r="E614" s="627" t="s">
        <v>1180</v>
      </c>
      <c r="F614" s="631" t="s">
        <v>1502</v>
      </c>
      <c r="G614" s="661">
        <v>282</v>
      </c>
      <c r="H614" s="633">
        <v>1460</v>
      </c>
      <c r="I614" s="618"/>
      <c r="J614" s="619" t="s">
        <v>1180</v>
      </c>
      <c r="K614" s="618"/>
      <c r="L614" s="619">
        <v>95</v>
      </c>
      <c r="M614" s="620">
        <v>90</v>
      </c>
      <c r="N614" s="619"/>
      <c r="O614" s="619">
        <v>10</v>
      </c>
      <c r="P614" s="619" t="s">
        <v>760</v>
      </c>
      <c r="Q614" s="662" t="s">
        <v>1002</v>
      </c>
      <c r="R614" s="618"/>
      <c r="S614" s="621" t="s">
        <v>1466</v>
      </c>
      <c r="T614" s="619" t="s">
        <v>1087</v>
      </c>
    </row>
    <row r="615" spans="1:20">
      <c r="A615" s="630">
        <v>2901460</v>
      </c>
      <c r="B615" s="628"/>
      <c r="C615" s="623"/>
      <c r="D615" s="623"/>
      <c r="E615" s="627" t="s">
        <v>1182</v>
      </c>
      <c r="F615" s="631" t="s">
        <v>1503</v>
      </c>
      <c r="G615" s="661">
        <v>290</v>
      </c>
      <c r="H615" s="633">
        <v>1460</v>
      </c>
      <c r="I615" s="618"/>
      <c r="J615" s="619" t="s">
        <v>1182</v>
      </c>
      <c r="K615" s="618"/>
      <c r="L615" s="619">
        <v>95</v>
      </c>
      <c r="M615" s="620">
        <v>90</v>
      </c>
      <c r="N615" s="619"/>
      <c r="O615" s="619">
        <v>10</v>
      </c>
      <c r="P615" s="619" t="s">
        <v>760</v>
      </c>
      <c r="Q615" s="662" t="s">
        <v>1002</v>
      </c>
      <c r="R615" s="618"/>
      <c r="S615" s="621" t="s">
        <v>1466</v>
      </c>
      <c r="T615" s="619" t="s">
        <v>1090</v>
      </c>
    </row>
    <row r="616" spans="1:20">
      <c r="A616" s="622"/>
      <c r="B616" s="628"/>
      <c r="C616" s="629">
        <v>24</v>
      </c>
      <c r="D616" s="774" t="s">
        <v>1504</v>
      </c>
      <c r="E616" s="775"/>
      <c r="F616" s="626"/>
      <c r="G616" s="623"/>
      <c r="H616" s="627"/>
      <c r="I616" s="618"/>
      <c r="J616" s="618"/>
      <c r="K616" s="618"/>
      <c r="L616" s="618"/>
      <c r="M616" s="618"/>
      <c r="N616" s="618"/>
      <c r="O616" s="618"/>
      <c r="P616" s="618"/>
      <c r="Q616" s="662"/>
      <c r="R616" s="618"/>
      <c r="S616" s="621"/>
      <c r="T616" s="618"/>
    </row>
    <row r="617" spans="1:20">
      <c r="A617" s="622"/>
      <c r="B617" s="628"/>
      <c r="C617" s="623"/>
      <c r="D617" s="623" t="s">
        <v>756</v>
      </c>
      <c r="E617" s="627" t="s">
        <v>244</v>
      </c>
      <c r="F617" s="626"/>
      <c r="G617" s="623"/>
      <c r="H617" s="627"/>
      <c r="I617" s="618"/>
      <c r="J617" s="618"/>
      <c r="K617" s="618"/>
      <c r="L617" s="618"/>
      <c r="M617" s="618"/>
      <c r="N617" s="618"/>
      <c r="O617" s="618"/>
      <c r="P617" s="618"/>
      <c r="Q617" s="662"/>
      <c r="R617" s="618"/>
      <c r="S617" s="621"/>
      <c r="T617" s="618"/>
    </row>
    <row r="618" spans="1:20">
      <c r="A618" s="630">
        <v>1121470</v>
      </c>
      <c r="B618" s="628"/>
      <c r="C618" s="623"/>
      <c r="D618" s="623"/>
      <c r="E618" s="627" t="s">
        <v>1096</v>
      </c>
      <c r="F618" s="631" t="s">
        <v>1505</v>
      </c>
      <c r="G618" s="661">
        <v>112</v>
      </c>
      <c r="H618" s="633">
        <v>1470</v>
      </c>
      <c r="I618" s="618"/>
      <c r="J618" s="619" t="s">
        <v>1096</v>
      </c>
      <c r="K618" s="618"/>
      <c r="L618" s="619">
        <v>82</v>
      </c>
      <c r="M618" s="620">
        <v>77</v>
      </c>
      <c r="N618" s="619"/>
      <c r="O618" s="619">
        <v>10</v>
      </c>
      <c r="P618" s="619" t="s">
        <v>760</v>
      </c>
      <c r="Q618" s="662" t="s">
        <v>1002</v>
      </c>
      <c r="R618" s="618"/>
      <c r="S618" s="621" t="s">
        <v>1506</v>
      </c>
      <c r="T618" s="619" t="s">
        <v>5</v>
      </c>
    </row>
    <row r="619" spans="1:20">
      <c r="A619" s="630">
        <v>1151470</v>
      </c>
      <c r="B619" s="628"/>
      <c r="C619" s="623"/>
      <c r="D619" s="623"/>
      <c r="E619" s="627" t="s">
        <v>1099</v>
      </c>
      <c r="F619" s="631" t="s">
        <v>1507</v>
      </c>
      <c r="G619" s="661">
        <v>115</v>
      </c>
      <c r="H619" s="633">
        <v>1470</v>
      </c>
      <c r="I619" s="618"/>
      <c r="J619" s="619" t="s">
        <v>1099</v>
      </c>
      <c r="K619" s="618"/>
      <c r="L619" s="619">
        <v>86</v>
      </c>
      <c r="M619" s="620">
        <v>81</v>
      </c>
      <c r="N619" s="619"/>
      <c r="O619" s="619">
        <v>10</v>
      </c>
      <c r="P619" s="619" t="s">
        <v>760</v>
      </c>
      <c r="Q619" s="662" t="s">
        <v>1002</v>
      </c>
      <c r="R619" s="618"/>
      <c r="S619" s="621" t="s">
        <v>1506</v>
      </c>
      <c r="T619" s="619" t="s">
        <v>1101</v>
      </c>
    </row>
    <row r="620" spans="1:20">
      <c r="A620" s="630">
        <v>1231470</v>
      </c>
      <c r="B620" s="628"/>
      <c r="C620" s="623"/>
      <c r="D620" s="623"/>
      <c r="E620" s="627" t="s">
        <v>1102</v>
      </c>
      <c r="F620" s="631" t="s">
        <v>1508</v>
      </c>
      <c r="G620" s="661">
        <v>123</v>
      </c>
      <c r="H620" s="633">
        <v>1470</v>
      </c>
      <c r="I620" s="618"/>
      <c r="J620" s="619" t="s">
        <v>1102</v>
      </c>
      <c r="K620" s="618"/>
      <c r="L620" s="619">
        <v>86</v>
      </c>
      <c r="M620" s="620">
        <v>81</v>
      </c>
      <c r="N620" s="619"/>
      <c r="O620" s="619">
        <v>10</v>
      </c>
      <c r="P620" s="619" t="s">
        <v>760</v>
      </c>
      <c r="Q620" s="662" t="s">
        <v>1002</v>
      </c>
      <c r="R620" s="618"/>
      <c r="S620" s="621" t="s">
        <v>1506</v>
      </c>
      <c r="T620" s="619" t="s">
        <v>1104</v>
      </c>
    </row>
    <row r="621" spans="1:20">
      <c r="A621" s="630">
        <v>1201470</v>
      </c>
      <c r="B621" s="628"/>
      <c r="C621" s="623"/>
      <c r="D621" s="623"/>
      <c r="E621" s="627" t="s">
        <v>1105</v>
      </c>
      <c r="F621" s="631" t="s">
        <v>1509</v>
      </c>
      <c r="G621" s="661">
        <v>120</v>
      </c>
      <c r="H621" s="633">
        <v>1470</v>
      </c>
      <c r="I621" s="618"/>
      <c r="J621" s="619" t="s">
        <v>1105</v>
      </c>
      <c r="K621" s="618"/>
      <c r="L621" s="619">
        <v>86</v>
      </c>
      <c r="M621" s="620">
        <v>81</v>
      </c>
      <c r="N621" s="619"/>
      <c r="O621" s="619">
        <v>10</v>
      </c>
      <c r="P621" s="619" t="s">
        <v>760</v>
      </c>
      <c r="Q621" s="662" t="s">
        <v>1002</v>
      </c>
      <c r="R621" s="618"/>
      <c r="S621" s="621" t="s">
        <v>1506</v>
      </c>
      <c r="T621" s="619" t="s">
        <v>1107</v>
      </c>
    </row>
    <row r="622" spans="1:20">
      <c r="A622" s="630">
        <v>1001470</v>
      </c>
      <c r="B622" s="628"/>
      <c r="C622" s="623"/>
      <c r="D622" s="623"/>
      <c r="E622" s="627" t="s">
        <v>1108</v>
      </c>
      <c r="F622" s="631" t="s">
        <v>1510</v>
      </c>
      <c r="G622" s="661">
        <v>100</v>
      </c>
      <c r="H622" s="633">
        <v>1470</v>
      </c>
      <c r="I622" s="618"/>
      <c r="J622" s="619" t="s">
        <v>1108</v>
      </c>
      <c r="K622" s="618"/>
      <c r="L622" s="619">
        <v>86</v>
      </c>
      <c r="M622" s="620">
        <v>81</v>
      </c>
      <c r="N622" s="619"/>
      <c r="O622" s="619">
        <v>10</v>
      </c>
      <c r="P622" s="619" t="s">
        <v>760</v>
      </c>
      <c r="Q622" s="662" t="s">
        <v>1002</v>
      </c>
      <c r="R622" s="618"/>
      <c r="S622" s="621" t="s">
        <v>1506</v>
      </c>
      <c r="T622" s="619" t="s">
        <v>1015</v>
      </c>
    </row>
    <row r="623" spans="1:20">
      <c r="A623" s="630">
        <v>1401470</v>
      </c>
      <c r="B623" s="628"/>
      <c r="C623" s="623"/>
      <c r="D623" s="623"/>
      <c r="E623" s="627" t="s">
        <v>1110</v>
      </c>
      <c r="F623" s="631" t="s">
        <v>1511</v>
      </c>
      <c r="G623" s="661">
        <v>140</v>
      </c>
      <c r="H623" s="633">
        <v>1470</v>
      </c>
      <c r="I623" s="618"/>
      <c r="J623" s="619" t="s">
        <v>1110</v>
      </c>
      <c r="K623" s="618"/>
      <c r="L623" s="619">
        <v>86</v>
      </c>
      <c r="M623" s="620">
        <v>81</v>
      </c>
      <c r="N623" s="619"/>
      <c r="O623" s="619">
        <v>10</v>
      </c>
      <c r="P623" s="619" t="s">
        <v>760</v>
      </c>
      <c r="Q623" s="662" t="s">
        <v>1002</v>
      </c>
      <c r="R623" s="618"/>
      <c r="S623" s="621" t="s">
        <v>1506</v>
      </c>
      <c r="T623" s="619" t="s">
        <v>1017</v>
      </c>
    </row>
    <row r="624" spans="1:20">
      <c r="A624" s="630">
        <v>3001470</v>
      </c>
      <c r="B624" s="628"/>
      <c r="C624" s="623"/>
      <c r="D624" s="623" t="s">
        <v>775</v>
      </c>
      <c r="E624" s="627" t="s">
        <v>1112</v>
      </c>
      <c r="F624" s="631" t="s">
        <v>1512</v>
      </c>
      <c r="G624" s="661">
        <v>300</v>
      </c>
      <c r="H624" s="633">
        <v>1470</v>
      </c>
      <c r="I624" s="618"/>
      <c r="J624" s="619" t="s">
        <v>1112</v>
      </c>
      <c r="K624" s="618"/>
      <c r="L624" s="619">
        <v>101</v>
      </c>
      <c r="M624" s="620">
        <v>96</v>
      </c>
      <c r="N624" s="619"/>
      <c r="O624" s="619">
        <v>10</v>
      </c>
      <c r="P624" s="619" t="s">
        <v>760</v>
      </c>
      <c r="Q624" s="662"/>
      <c r="R624" s="618"/>
      <c r="S624" s="621" t="s">
        <v>1506</v>
      </c>
      <c r="T624" s="619" t="s">
        <v>1112</v>
      </c>
    </row>
    <row r="625" spans="1:20">
      <c r="A625" s="622"/>
      <c r="B625" s="628"/>
      <c r="C625" s="623"/>
      <c r="D625" s="623" t="s">
        <v>799</v>
      </c>
      <c r="E625" s="627" t="s">
        <v>250</v>
      </c>
      <c r="F625" s="626"/>
      <c r="G625" s="623"/>
      <c r="H625" s="627"/>
      <c r="I625" s="618"/>
      <c r="J625" s="618"/>
      <c r="K625" s="618"/>
      <c r="L625" s="618"/>
      <c r="M625" s="618"/>
      <c r="N625" s="618"/>
      <c r="O625" s="618"/>
      <c r="P625" s="618"/>
      <c r="Q625" s="662"/>
      <c r="R625" s="618"/>
      <c r="S625" s="621"/>
      <c r="T625" s="618"/>
    </row>
    <row r="626" spans="1:20">
      <c r="A626" s="630">
        <v>4301470</v>
      </c>
      <c r="B626" s="628"/>
      <c r="C626" s="623"/>
      <c r="D626" s="623"/>
      <c r="E626" s="627" t="s">
        <v>1114</v>
      </c>
      <c r="F626" s="631" t="s">
        <v>1513</v>
      </c>
      <c r="G626" s="661">
        <v>430</v>
      </c>
      <c r="H626" s="633">
        <v>1470</v>
      </c>
      <c r="I626" s="618"/>
      <c r="J626" s="619" t="s">
        <v>1114</v>
      </c>
      <c r="K626" s="618"/>
      <c r="L626" s="619">
        <v>107</v>
      </c>
      <c r="M626" s="620">
        <v>102</v>
      </c>
      <c r="N626" s="619"/>
      <c r="O626" s="619">
        <v>10</v>
      </c>
      <c r="P626" s="619" t="s">
        <v>760</v>
      </c>
      <c r="Q626" s="662"/>
      <c r="R626" s="618"/>
      <c r="S626" s="621" t="s">
        <v>1506</v>
      </c>
      <c r="T626" s="619" t="s">
        <v>1021</v>
      </c>
    </row>
    <row r="627" spans="1:20">
      <c r="A627" s="630">
        <v>4421470</v>
      </c>
      <c r="B627" s="628"/>
      <c r="C627" s="623"/>
      <c r="D627" s="623"/>
      <c r="E627" s="627" t="s">
        <v>1116</v>
      </c>
      <c r="F627" s="631" t="s">
        <v>1514</v>
      </c>
      <c r="G627" s="661">
        <v>442</v>
      </c>
      <c r="H627" s="633">
        <v>1470</v>
      </c>
      <c r="I627" s="618"/>
      <c r="J627" s="619" t="s">
        <v>1116</v>
      </c>
      <c r="K627" s="618"/>
      <c r="L627" s="619">
        <v>106</v>
      </c>
      <c r="M627" s="620">
        <v>101</v>
      </c>
      <c r="N627" s="619"/>
      <c r="O627" s="619">
        <v>10</v>
      </c>
      <c r="P627" s="619" t="s">
        <v>760</v>
      </c>
      <c r="Q627" s="662"/>
      <c r="R627" s="618"/>
      <c r="S627" s="621" t="s">
        <v>1506</v>
      </c>
      <c r="T627" s="619" t="s">
        <v>1023</v>
      </c>
    </row>
    <row r="628" spans="1:20">
      <c r="A628" s="630">
        <v>4001470</v>
      </c>
      <c r="B628" s="628"/>
      <c r="C628" s="623"/>
      <c r="D628" s="623"/>
      <c r="E628" s="627" t="s">
        <v>1118</v>
      </c>
      <c r="F628" s="631" t="s">
        <v>1515</v>
      </c>
      <c r="G628" s="661">
        <v>400</v>
      </c>
      <c r="H628" s="633">
        <v>1470</v>
      </c>
      <c r="I628" s="618"/>
      <c r="J628" s="619" t="s">
        <v>1118</v>
      </c>
      <c r="K628" s="618"/>
      <c r="L628" s="619">
        <v>108</v>
      </c>
      <c r="M628" s="620">
        <v>103</v>
      </c>
      <c r="N628" s="619"/>
      <c r="O628" s="619">
        <v>10</v>
      </c>
      <c r="P628" s="619" t="s">
        <v>760</v>
      </c>
      <c r="Q628" s="662"/>
      <c r="R628" s="618"/>
      <c r="S628" s="621" t="s">
        <v>1506</v>
      </c>
      <c r="T628" s="619" t="s">
        <v>1025</v>
      </c>
    </row>
    <row r="629" spans="1:20">
      <c r="A629" s="622"/>
      <c r="B629" s="628"/>
      <c r="C629" s="623"/>
      <c r="D629" s="623" t="s">
        <v>803</v>
      </c>
      <c r="E629" s="627" t="s">
        <v>252</v>
      </c>
      <c r="F629" s="626"/>
      <c r="G629" s="623"/>
      <c r="H629" s="627"/>
      <c r="I629" s="618"/>
      <c r="J629" s="618"/>
      <c r="K629" s="618"/>
      <c r="L629" s="618"/>
      <c r="M629" s="618"/>
      <c r="N629" s="618"/>
      <c r="O629" s="618"/>
      <c r="P629" s="618"/>
      <c r="Q629" s="662"/>
      <c r="R629" s="618"/>
      <c r="S629" s="621"/>
      <c r="T629" s="618"/>
    </row>
    <row r="630" spans="1:20">
      <c r="A630" s="622"/>
      <c r="B630" s="628"/>
      <c r="C630" s="623"/>
      <c r="D630" s="623"/>
      <c r="E630" s="627" t="s">
        <v>1120</v>
      </c>
      <c r="F630" s="626"/>
      <c r="G630" s="623"/>
      <c r="H630" s="627"/>
      <c r="I630" s="618"/>
      <c r="J630" s="618"/>
      <c r="K630" s="618"/>
      <c r="L630" s="618"/>
      <c r="M630" s="618"/>
      <c r="N630" s="618"/>
      <c r="O630" s="618"/>
      <c r="P630" s="618"/>
      <c r="Q630" s="662"/>
      <c r="R630" s="618"/>
      <c r="S630" s="621"/>
      <c r="T630" s="618"/>
    </row>
    <row r="631" spans="1:20">
      <c r="A631" s="630">
        <v>5611470</v>
      </c>
      <c r="B631" s="628"/>
      <c r="C631" s="623"/>
      <c r="D631" s="623"/>
      <c r="E631" s="627" t="s">
        <v>1121</v>
      </c>
      <c r="F631" s="631" t="s">
        <v>1516</v>
      </c>
      <c r="G631" s="661">
        <v>561</v>
      </c>
      <c r="H631" s="633">
        <v>1470</v>
      </c>
      <c r="I631" s="618"/>
      <c r="J631" s="619" t="s">
        <v>1121</v>
      </c>
      <c r="K631" s="618"/>
      <c r="L631" s="619">
        <v>119</v>
      </c>
      <c r="M631" s="620">
        <v>110</v>
      </c>
      <c r="N631" s="619"/>
      <c r="O631" s="619">
        <v>10</v>
      </c>
      <c r="P631" s="619" t="s">
        <v>760</v>
      </c>
      <c r="Q631" s="662"/>
      <c r="R631" s="618"/>
      <c r="S631" s="621" t="s">
        <v>1506</v>
      </c>
      <c r="T631" s="619" t="s">
        <v>1030</v>
      </c>
    </row>
    <row r="632" spans="1:20">
      <c r="A632" s="630">
        <v>5621470</v>
      </c>
      <c r="B632" s="628"/>
      <c r="C632" s="623"/>
      <c r="D632" s="623"/>
      <c r="E632" s="627" t="s">
        <v>1123</v>
      </c>
      <c r="F632" s="631" t="s">
        <v>1517</v>
      </c>
      <c r="G632" s="661">
        <v>562</v>
      </c>
      <c r="H632" s="633">
        <v>1470</v>
      </c>
      <c r="I632" s="618"/>
      <c r="J632" s="619" t="s">
        <v>1123</v>
      </c>
      <c r="K632" s="618"/>
      <c r="L632" s="619">
        <v>119</v>
      </c>
      <c r="M632" s="620">
        <v>110</v>
      </c>
      <c r="N632" s="619"/>
      <c r="O632" s="619">
        <v>10</v>
      </c>
      <c r="P632" s="619" t="s">
        <v>760</v>
      </c>
      <c r="Q632" s="662"/>
      <c r="R632" s="618"/>
      <c r="S632" s="621" t="s">
        <v>1506</v>
      </c>
      <c r="T632" s="619" t="s">
        <v>1033</v>
      </c>
    </row>
    <row r="633" spans="1:20">
      <c r="A633" s="630">
        <v>5631470</v>
      </c>
      <c r="B633" s="628"/>
      <c r="C633" s="623"/>
      <c r="D633" s="623"/>
      <c r="E633" s="627" t="s">
        <v>1304</v>
      </c>
      <c r="F633" s="631" t="s">
        <v>1518</v>
      </c>
      <c r="G633" s="661">
        <v>563</v>
      </c>
      <c r="H633" s="633">
        <v>1470</v>
      </c>
      <c r="I633" s="618"/>
      <c r="J633" s="619" t="s">
        <v>1304</v>
      </c>
      <c r="K633" s="618"/>
      <c r="L633" s="619">
        <v>119</v>
      </c>
      <c r="M633" s="620">
        <v>110</v>
      </c>
      <c r="N633" s="619"/>
      <c r="O633" s="619">
        <v>10</v>
      </c>
      <c r="P633" s="619" t="s">
        <v>760</v>
      </c>
      <c r="Q633" s="662"/>
      <c r="R633" s="618"/>
      <c r="S633" s="621" t="s">
        <v>1506</v>
      </c>
      <c r="T633" s="619" t="s">
        <v>1036</v>
      </c>
    </row>
    <row r="634" spans="1:20">
      <c r="A634" s="630">
        <v>5821470</v>
      </c>
      <c r="B634" s="628"/>
      <c r="C634" s="623"/>
      <c r="D634" s="623"/>
      <c r="E634" s="627" t="s">
        <v>1134</v>
      </c>
      <c r="F634" s="631" t="s">
        <v>1519</v>
      </c>
      <c r="G634" s="661">
        <v>582</v>
      </c>
      <c r="H634" s="633">
        <v>1470</v>
      </c>
      <c r="I634" s="618"/>
      <c r="J634" s="619" t="s">
        <v>1134</v>
      </c>
      <c r="K634" s="618"/>
      <c r="L634" s="619">
        <v>118</v>
      </c>
      <c r="M634" s="620">
        <v>109</v>
      </c>
      <c r="N634" s="619"/>
      <c r="O634" s="619">
        <v>10</v>
      </c>
      <c r="P634" s="619" t="s">
        <v>760</v>
      </c>
      <c r="Q634" s="662"/>
      <c r="R634" s="618"/>
      <c r="S634" s="621" t="s">
        <v>1506</v>
      </c>
      <c r="T634" s="619" t="s">
        <v>1037</v>
      </c>
    </row>
    <row r="635" spans="1:20">
      <c r="A635" s="630">
        <v>5001470</v>
      </c>
      <c r="B635" s="628"/>
      <c r="C635" s="623"/>
      <c r="D635" s="623"/>
      <c r="E635" s="627" t="s">
        <v>1136</v>
      </c>
      <c r="F635" s="631" t="s">
        <v>1520</v>
      </c>
      <c r="G635" s="661">
        <v>500</v>
      </c>
      <c r="H635" s="633">
        <v>1470</v>
      </c>
      <c r="I635" s="618"/>
      <c r="J635" s="619" t="s">
        <v>1136</v>
      </c>
      <c r="K635" s="618"/>
      <c r="L635" s="619">
        <v>119</v>
      </c>
      <c r="M635" s="620">
        <v>110</v>
      </c>
      <c r="N635" s="619"/>
      <c r="O635" s="619">
        <v>10</v>
      </c>
      <c r="P635" s="619" t="s">
        <v>760</v>
      </c>
      <c r="Q635" s="662"/>
      <c r="R635" s="618"/>
      <c r="S635" s="621" t="s">
        <v>1506</v>
      </c>
      <c r="T635" s="619" t="s">
        <v>252</v>
      </c>
    </row>
    <row r="636" spans="1:20">
      <c r="A636" s="622"/>
      <c r="B636" s="628"/>
      <c r="C636" s="623"/>
      <c r="D636" s="623" t="s">
        <v>848</v>
      </c>
      <c r="E636" s="627" t="s">
        <v>1040</v>
      </c>
      <c r="F636" s="626"/>
      <c r="G636" s="623"/>
      <c r="H636" s="627"/>
      <c r="I636" s="618"/>
      <c r="J636" s="618"/>
      <c r="K636" s="618"/>
      <c r="L636" s="618"/>
      <c r="M636" s="618"/>
      <c r="N636" s="618"/>
      <c r="O636" s="618"/>
      <c r="P636" s="618"/>
      <c r="Q636" s="662"/>
      <c r="R636" s="618"/>
      <c r="S636" s="621"/>
      <c r="T636" s="618"/>
    </row>
    <row r="637" spans="1:20">
      <c r="A637" s="630">
        <v>6151470</v>
      </c>
      <c r="B637" s="628"/>
      <c r="C637" s="623"/>
      <c r="D637" s="623"/>
      <c r="E637" s="627" t="s">
        <v>1138</v>
      </c>
      <c r="F637" s="631" t="s">
        <v>1521</v>
      </c>
      <c r="G637" s="661">
        <v>615</v>
      </c>
      <c r="H637" s="633">
        <v>1470</v>
      </c>
      <c r="I637" s="618"/>
      <c r="J637" s="619" t="s">
        <v>1138</v>
      </c>
      <c r="K637" s="618"/>
      <c r="L637" s="619">
        <v>126</v>
      </c>
      <c r="M637" s="620">
        <v>117</v>
      </c>
      <c r="N637" s="619"/>
      <c r="O637" s="619">
        <v>10</v>
      </c>
      <c r="P637" s="619" t="s">
        <v>760</v>
      </c>
      <c r="Q637" s="662" t="s">
        <v>1043</v>
      </c>
      <c r="R637" s="618"/>
      <c r="S637" s="621" t="s">
        <v>1506</v>
      </c>
      <c r="T637" s="619" t="s">
        <v>1041</v>
      </c>
    </row>
    <row r="638" spans="1:20">
      <c r="A638" s="630">
        <v>6101470</v>
      </c>
      <c r="B638" s="628"/>
      <c r="C638" s="623"/>
      <c r="D638" s="623"/>
      <c r="E638" s="627" t="s">
        <v>1140</v>
      </c>
      <c r="F638" s="631" t="s">
        <v>1522</v>
      </c>
      <c r="G638" s="661">
        <v>610</v>
      </c>
      <c r="H638" s="633">
        <v>1470</v>
      </c>
      <c r="I638" s="618"/>
      <c r="J638" s="619" t="s">
        <v>1140</v>
      </c>
      <c r="K638" s="618"/>
      <c r="L638" s="619">
        <v>122</v>
      </c>
      <c r="M638" s="620">
        <v>113</v>
      </c>
      <c r="N638" s="619"/>
      <c r="O638" s="619">
        <v>10</v>
      </c>
      <c r="P638" s="619" t="s">
        <v>760</v>
      </c>
      <c r="Q638" s="662" t="s">
        <v>1043</v>
      </c>
      <c r="R638" s="618"/>
      <c r="S638" s="621" t="s">
        <v>1506</v>
      </c>
      <c r="T638" s="619" t="s">
        <v>39</v>
      </c>
    </row>
    <row r="639" spans="1:20">
      <c r="A639" s="630">
        <v>6421470</v>
      </c>
      <c r="B639" s="628"/>
      <c r="C639" s="623"/>
      <c r="D639" s="623"/>
      <c r="E639" s="627" t="s">
        <v>1142</v>
      </c>
      <c r="F639" s="631" t="s">
        <v>1523</v>
      </c>
      <c r="G639" s="661">
        <v>642</v>
      </c>
      <c r="H639" s="633">
        <v>1470</v>
      </c>
      <c r="I639" s="618"/>
      <c r="J639" s="619" t="s">
        <v>1142</v>
      </c>
      <c r="K639" s="618"/>
      <c r="L639" s="619">
        <v>125</v>
      </c>
      <c r="M639" s="620">
        <v>116</v>
      </c>
      <c r="N639" s="619"/>
      <c r="O639" s="619">
        <v>10</v>
      </c>
      <c r="P639" s="619" t="s">
        <v>760</v>
      </c>
      <c r="Q639" s="662" t="s">
        <v>1043</v>
      </c>
      <c r="R639" s="618"/>
      <c r="S639" s="621" t="s">
        <v>1506</v>
      </c>
      <c r="T639" s="619" t="s">
        <v>1046</v>
      </c>
    </row>
    <row r="640" spans="1:20">
      <c r="A640" s="630">
        <v>6001470</v>
      </c>
      <c r="B640" s="670"/>
      <c r="C640" s="632"/>
      <c r="D640" s="632"/>
      <c r="E640" s="637" t="s">
        <v>1144</v>
      </c>
      <c r="F640" s="631" t="s">
        <v>1524</v>
      </c>
      <c r="G640" s="661">
        <v>600</v>
      </c>
      <c r="H640" s="633">
        <v>1470</v>
      </c>
      <c r="I640" s="618"/>
      <c r="J640" s="619" t="s">
        <v>1144</v>
      </c>
      <c r="K640" s="618"/>
      <c r="L640" s="619">
        <v>126</v>
      </c>
      <c r="M640" s="620">
        <v>117</v>
      </c>
      <c r="N640" s="619"/>
      <c r="O640" s="619">
        <v>10</v>
      </c>
      <c r="P640" s="619" t="s">
        <v>760</v>
      </c>
      <c r="Q640" s="662"/>
      <c r="R640" s="618"/>
      <c r="S640" s="621" t="s">
        <v>1506</v>
      </c>
      <c r="T640" s="619" t="s">
        <v>1048</v>
      </c>
    </row>
    <row r="641" spans="1:20">
      <c r="A641" s="622"/>
      <c r="B641" s="628"/>
      <c r="C641" s="623"/>
      <c r="D641" s="623" t="s">
        <v>851</v>
      </c>
      <c r="E641" s="627" t="s">
        <v>1050</v>
      </c>
      <c r="F641" s="626"/>
      <c r="G641" s="623"/>
      <c r="H641" s="627"/>
      <c r="I641" s="618"/>
      <c r="J641" s="618"/>
      <c r="K641" s="618"/>
      <c r="L641" s="618"/>
      <c r="M641" s="618"/>
      <c r="N641" s="618"/>
      <c r="O641" s="618"/>
      <c r="P641" s="618"/>
      <c r="Q641" s="662"/>
      <c r="R641" s="618"/>
      <c r="S641" s="621"/>
      <c r="T641" s="618"/>
    </row>
    <row r="642" spans="1:20">
      <c r="A642" s="630">
        <v>7341470</v>
      </c>
      <c r="B642" s="628"/>
      <c r="C642" s="623"/>
      <c r="D642" s="623"/>
      <c r="E642" s="627" t="s">
        <v>1146</v>
      </c>
      <c r="F642" s="631" t="s">
        <v>1525</v>
      </c>
      <c r="G642" s="661">
        <v>734</v>
      </c>
      <c r="H642" s="633">
        <v>1470</v>
      </c>
      <c r="I642" s="618"/>
      <c r="J642" s="619" t="s">
        <v>1146</v>
      </c>
      <c r="K642" s="618"/>
      <c r="L642" s="619">
        <v>131</v>
      </c>
      <c r="M642" s="620">
        <v>122</v>
      </c>
      <c r="N642" s="619"/>
      <c r="O642" s="619">
        <v>10</v>
      </c>
      <c r="P642" s="619" t="s">
        <v>760</v>
      </c>
      <c r="Q642" s="662"/>
      <c r="R642" s="618"/>
      <c r="S642" s="621" t="s">
        <v>1506</v>
      </c>
      <c r="T642" s="619" t="s">
        <v>1051</v>
      </c>
    </row>
    <row r="643" spans="1:20">
      <c r="A643" s="630">
        <v>7351470</v>
      </c>
      <c r="B643" s="628"/>
      <c r="C643" s="623"/>
      <c r="D643" s="623"/>
      <c r="E643" s="627" t="s">
        <v>1148</v>
      </c>
      <c r="F643" s="631" t="s">
        <v>1526</v>
      </c>
      <c r="G643" s="661">
        <v>735</v>
      </c>
      <c r="H643" s="633">
        <v>1470</v>
      </c>
      <c r="I643" s="618"/>
      <c r="J643" s="619" t="s">
        <v>1148</v>
      </c>
      <c r="K643" s="618"/>
      <c r="L643" s="619">
        <v>131</v>
      </c>
      <c r="M643" s="620">
        <v>122</v>
      </c>
      <c r="N643" s="619"/>
      <c r="O643" s="619">
        <v>10</v>
      </c>
      <c r="P643" s="619" t="s">
        <v>760</v>
      </c>
      <c r="Q643" s="662"/>
      <c r="R643" s="618"/>
      <c r="S643" s="621" t="s">
        <v>1506</v>
      </c>
      <c r="T643" s="619" t="s">
        <v>1053</v>
      </c>
    </row>
    <row r="644" spans="1:20">
      <c r="A644" s="630">
        <v>7301470</v>
      </c>
      <c r="B644" s="628"/>
      <c r="C644" s="623"/>
      <c r="D644" s="623"/>
      <c r="E644" s="627" t="s">
        <v>1150</v>
      </c>
      <c r="F644" s="631" t="s">
        <v>1527</v>
      </c>
      <c r="G644" s="661">
        <v>730</v>
      </c>
      <c r="H644" s="633">
        <v>1470</v>
      </c>
      <c r="I644" s="618"/>
      <c r="J644" s="619" t="s">
        <v>1150</v>
      </c>
      <c r="K644" s="618"/>
      <c r="L644" s="619">
        <v>131</v>
      </c>
      <c r="M644" s="620">
        <v>122</v>
      </c>
      <c r="N644" s="619"/>
      <c r="O644" s="619">
        <v>10</v>
      </c>
      <c r="P644" s="619" t="s">
        <v>760</v>
      </c>
      <c r="Q644" s="662"/>
      <c r="R644" s="618"/>
      <c r="S644" s="621" t="s">
        <v>1506</v>
      </c>
      <c r="T644" s="619" t="s">
        <v>1055</v>
      </c>
    </row>
    <row r="645" spans="1:20">
      <c r="A645" s="630">
        <v>7001470</v>
      </c>
      <c r="B645" s="628"/>
      <c r="C645" s="623"/>
      <c r="D645" s="623"/>
      <c r="E645" s="627" t="s">
        <v>1152</v>
      </c>
      <c r="F645" s="631" t="s">
        <v>1528</v>
      </c>
      <c r="G645" s="661">
        <v>700</v>
      </c>
      <c r="H645" s="633">
        <v>1470</v>
      </c>
      <c r="I645" s="618"/>
      <c r="J645" s="619" t="s">
        <v>1152</v>
      </c>
      <c r="K645" s="618"/>
      <c r="L645" s="619">
        <v>132</v>
      </c>
      <c r="M645" s="620">
        <v>123</v>
      </c>
      <c r="N645" s="619"/>
      <c r="O645" s="619">
        <v>10</v>
      </c>
      <c r="P645" s="619" t="s">
        <v>760</v>
      </c>
      <c r="Q645" s="662"/>
      <c r="R645" s="618"/>
      <c r="S645" s="621" t="s">
        <v>1506</v>
      </c>
      <c r="T645" s="619" t="s">
        <v>1057</v>
      </c>
    </row>
    <row r="646" spans="1:20">
      <c r="A646" s="622"/>
      <c r="B646" s="628"/>
      <c r="C646" s="623"/>
      <c r="D646" s="623" t="s">
        <v>854</v>
      </c>
      <c r="E646" s="627" t="s">
        <v>256</v>
      </c>
      <c r="F646" s="626"/>
      <c r="G646" s="623"/>
      <c r="H646" s="627"/>
      <c r="I646" s="618"/>
      <c r="J646" s="618"/>
      <c r="K646" s="618"/>
      <c r="L646" s="618"/>
      <c r="M646" s="618"/>
      <c r="N646" s="618"/>
      <c r="O646" s="618"/>
      <c r="P646" s="618"/>
      <c r="Q646" s="662"/>
      <c r="R646" s="618"/>
      <c r="S646" s="621"/>
      <c r="T646" s="618"/>
    </row>
    <row r="647" spans="1:20">
      <c r="A647" s="630">
        <v>8951470</v>
      </c>
      <c r="B647" s="628"/>
      <c r="C647" s="623"/>
      <c r="D647" s="623"/>
      <c r="E647" s="627" t="s">
        <v>1154</v>
      </c>
      <c r="F647" s="631" t="s">
        <v>1529</v>
      </c>
      <c r="G647" s="661">
        <v>895</v>
      </c>
      <c r="H647" s="633">
        <v>1470</v>
      </c>
      <c r="I647" s="618"/>
      <c r="J647" s="619" t="s">
        <v>1154</v>
      </c>
      <c r="K647" s="618"/>
      <c r="L647" s="619">
        <v>139</v>
      </c>
      <c r="M647" s="620">
        <v>129</v>
      </c>
      <c r="N647" s="619"/>
      <c r="O647" s="619">
        <v>10</v>
      </c>
      <c r="P647" s="619" t="s">
        <v>760</v>
      </c>
      <c r="Q647" s="662"/>
      <c r="R647" s="618"/>
      <c r="S647" s="621" t="s">
        <v>1506</v>
      </c>
      <c r="T647" s="619" t="s">
        <v>1059</v>
      </c>
    </row>
    <row r="648" spans="1:20">
      <c r="A648" s="630">
        <v>8001470</v>
      </c>
      <c r="B648" s="628"/>
      <c r="C648" s="623"/>
      <c r="D648" s="623"/>
      <c r="E648" s="627" t="s">
        <v>1156</v>
      </c>
      <c r="F648" s="631" t="s">
        <v>1530</v>
      </c>
      <c r="G648" s="661">
        <v>800</v>
      </c>
      <c r="H648" s="633">
        <v>1470</v>
      </c>
      <c r="I648" s="618"/>
      <c r="J648" s="619" t="s">
        <v>1156</v>
      </c>
      <c r="K648" s="618"/>
      <c r="L648" s="619">
        <v>139</v>
      </c>
      <c r="M648" s="620">
        <v>129</v>
      </c>
      <c r="N648" s="619"/>
      <c r="O648" s="619">
        <v>10</v>
      </c>
      <c r="P648" s="619" t="s">
        <v>760</v>
      </c>
      <c r="Q648" s="662"/>
      <c r="R648" s="618"/>
      <c r="S648" s="621" t="s">
        <v>1506</v>
      </c>
      <c r="T648" s="619" t="s">
        <v>1061</v>
      </c>
    </row>
    <row r="649" spans="1:20">
      <c r="A649" s="622"/>
      <c r="B649" s="628"/>
      <c r="C649" s="623"/>
      <c r="D649" s="623" t="s">
        <v>857</v>
      </c>
      <c r="E649" s="627" t="s">
        <v>1063</v>
      </c>
      <c r="F649" s="626"/>
      <c r="G649" s="623"/>
      <c r="H649" s="627"/>
      <c r="I649" s="618"/>
      <c r="J649" s="618"/>
      <c r="K649" s="618"/>
      <c r="L649" s="618"/>
      <c r="M649" s="618"/>
      <c r="N649" s="618"/>
      <c r="O649" s="618"/>
      <c r="P649" s="618"/>
      <c r="Q649" s="662"/>
      <c r="R649" s="618"/>
      <c r="S649" s="621"/>
      <c r="T649" s="618"/>
    </row>
    <row r="650" spans="1:20">
      <c r="A650" s="630">
        <v>2101470</v>
      </c>
      <c r="B650" s="628"/>
      <c r="C650" s="623"/>
      <c r="D650" s="623"/>
      <c r="E650" s="627" t="s">
        <v>1158</v>
      </c>
      <c r="F650" s="631" t="s">
        <v>1531</v>
      </c>
      <c r="G650" s="661">
        <v>210</v>
      </c>
      <c r="H650" s="633">
        <v>1470</v>
      </c>
      <c r="I650" s="618"/>
      <c r="J650" s="619" t="s">
        <v>1158</v>
      </c>
      <c r="K650" s="618"/>
      <c r="L650" s="619">
        <v>89</v>
      </c>
      <c r="M650" s="620">
        <v>84</v>
      </c>
      <c r="N650" s="619"/>
      <c r="O650" s="619">
        <v>10</v>
      </c>
      <c r="P650" s="619" t="s">
        <v>760</v>
      </c>
      <c r="Q650" s="662" t="s">
        <v>1002</v>
      </c>
      <c r="R650" s="618"/>
      <c r="S650" s="621" t="s">
        <v>1506</v>
      </c>
      <c r="T650" s="619" t="s">
        <v>1064</v>
      </c>
    </row>
    <row r="651" spans="1:20">
      <c r="A651" s="630">
        <v>2201470</v>
      </c>
      <c r="B651" s="628"/>
      <c r="C651" s="623"/>
      <c r="D651" s="623"/>
      <c r="E651" s="627" t="s">
        <v>1160</v>
      </c>
      <c r="F651" s="631" t="s">
        <v>1532</v>
      </c>
      <c r="G651" s="661">
        <v>220</v>
      </c>
      <c r="H651" s="633">
        <v>1470</v>
      </c>
      <c r="I651" s="618"/>
      <c r="J651" s="619" t="s">
        <v>1160</v>
      </c>
      <c r="K651" s="618"/>
      <c r="L651" s="619">
        <v>90</v>
      </c>
      <c r="M651" s="620">
        <v>85</v>
      </c>
      <c r="N651" s="619"/>
      <c r="O651" s="619">
        <v>10</v>
      </c>
      <c r="P651" s="619" t="s">
        <v>760</v>
      </c>
      <c r="Q651" s="662" t="s">
        <v>1002</v>
      </c>
      <c r="R651" s="618"/>
      <c r="S651" s="621" t="s">
        <v>1506</v>
      </c>
      <c r="T651" s="619" t="s">
        <v>1066</v>
      </c>
    </row>
    <row r="652" spans="1:20">
      <c r="A652" s="630">
        <v>2251470</v>
      </c>
      <c r="B652" s="628"/>
      <c r="C652" s="623"/>
      <c r="D652" s="623"/>
      <c r="E652" s="627" t="s">
        <v>1162</v>
      </c>
      <c r="F652" s="631" t="s">
        <v>1533</v>
      </c>
      <c r="G652" s="661">
        <v>225</v>
      </c>
      <c r="H652" s="633">
        <v>1470</v>
      </c>
      <c r="I652" s="618"/>
      <c r="J652" s="619" t="s">
        <v>1162</v>
      </c>
      <c r="K652" s="618"/>
      <c r="L652" s="619">
        <v>91</v>
      </c>
      <c r="M652" s="620">
        <v>86</v>
      </c>
      <c r="N652" s="619"/>
      <c r="O652" s="619">
        <v>10</v>
      </c>
      <c r="P652" s="619" t="s">
        <v>760</v>
      </c>
      <c r="Q652" s="662" t="s">
        <v>1002</v>
      </c>
      <c r="R652" s="618"/>
      <c r="S652" s="621" t="s">
        <v>1506</v>
      </c>
      <c r="T652" s="619" t="s">
        <v>23</v>
      </c>
    </row>
    <row r="653" spans="1:20">
      <c r="A653" s="622"/>
      <c r="B653" s="628"/>
      <c r="C653" s="623"/>
      <c r="D653" s="623"/>
      <c r="E653" s="627" t="s">
        <v>1164</v>
      </c>
      <c r="F653" s="626"/>
      <c r="G653" s="623"/>
      <c r="H653" s="627"/>
      <c r="I653" s="618"/>
      <c r="J653" s="618"/>
      <c r="K653" s="618"/>
      <c r="L653" s="618"/>
      <c r="M653" s="618"/>
      <c r="N653" s="618"/>
      <c r="O653" s="618"/>
      <c r="P653" s="618"/>
      <c r="Q653" s="662"/>
      <c r="R653" s="618"/>
      <c r="S653" s="621"/>
      <c r="T653" s="618"/>
    </row>
    <row r="654" spans="1:20">
      <c r="A654" s="630">
        <v>2311470</v>
      </c>
      <c r="B654" s="628"/>
      <c r="C654" s="623"/>
      <c r="D654" s="623"/>
      <c r="E654" s="627" t="s">
        <v>1165</v>
      </c>
      <c r="F654" s="631" t="s">
        <v>1534</v>
      </c>
      <c r="G654" s="661">
        <v>231</v>
      </c>
      <c r="H654" s="633">
        <v>1470</v>
      </c>
      <c r="I654" s="618"/>
      <c r="J654" s="619" t="s">
        <v>1165</v>
      </c>
      <c r="K654" s="618"/>
      <c r="L654" s="619">
        <v>92</v>
      </c>
      <c r="M654" s="620">
        <v>87</v>
      </c>
      <c r="N654" s="619"/>
      <c r="O654" s="619">
        <v>10</v>
      </c>
      <c r="P654" s="619" t="s">
        <v>760</v>
      </c>
      <c r="Q654" s="662" t="s">
        <v>1002</v>
      </c>
      <c r="R654" s="618"/>
      <c r="S654" s="621" t="s">
        <v>1506</v>
      </c>
      <c r="T654" s="619" t="s">
        <v>1072</v>
      </c>
    </row>
    <row r="655" spans="1:20">
      <c r="A655" s="630">
        <v>2331470</v>
      </c>
      <c r="B655" s="628"/>
      <c r="C655" s="623"/>
      <c r="D655" s="623"/>
      <c r="E655" s="627" t="s">
        <v>1167</v>
      </c>
      <c r="F655" s="631" t="s">
        <v>1535</v>
      </c>
      <c r="G655" s="661">
        <v>233</v>
      </c>
      <c r="H655" s="633">
        <v>1470</v>
      </c>
      <c r="I655" s="618"/>
      <c r="J655" s="619" t="s">
        <v>1167</v>
      </c>
      <c r="K655" s="618"/>
      <c r="L655" s="619">
        <v>92</v>
      </c>
      <c r="M655" s="620">
        <v>87</v>
      </c>
      <c r="N655" s="619"/>
      <c r="O655" s="619">
        <v>10</v>
      </c>
      <c r="P655" s="619" t="s">
        <v>760</v>
      </c>
      <c r="Q655" s="662" t="s">
        <v>1002</v>
      </c>
      <c r="R655" s="618"/>
      <c r="S655" s="621" t="s">
        <v>1506</v>
      </c>
      <c r="T655" s="619" t="s">
        <v>1169</v>
      </c>
    </row>
    <row r="656" spans="1:20">
      <c r="A656" s="630">
        <v>2391470</v>
      </c>
      <c r="B656" s="628"/>
      <c r="C656" s="623"/>
      <c r="D656" s="623"/>
      <c r="E656" s="627" t="s">
        <v>1170</v>
      </c>
      <c r="F656" s="631" t="s">
        <v>1536</v>
      </c>
      <c r="G656" s="661">
        <v>239</v>
      </c>
      <c r="H656" s="633">
        <v>1470</v>
      </c>
      <c r="I656" s="618"/>
      <c r="J656" s="619" t="s">
        <v>1170</v>
      </c>
      <c r="K656" s="618"/>
      <c r="L656" s="619">
        <v>92</v>
      </c>
      <c r="M656" s="620">
        <v>87</v>
      </c>
      <c r="N656" s="619"/>
      <c r="O656" s="619">
        <v>10</v>
      </c>
      <c r="P656" s="619" t="s">
        <v>760</v>
      </c>
      <c r="Q656" s="662" t="s">
        <v>1002</v>
      </c>
      <c r="R656" s="618"/>
      <c r="S656" s="621" t="s">
        <v>1506</v>
      </c>
      <c r="T656" s="619" t="s">
        <v>1078</v>
      </c>
    </row>
    <row r="657" spans="1:20">
      <c r="A657" s="630">
        <v>2501470</v>
      </c>
      <c r="B657" s="628"/>
      <c r="C657" s="623"/>
      <c r="D657" s="623"/>
      <c r="E657" s="627" t="s">
        <v>1172</v>
      </c>
      <c r="F657" s="631" t="s">
        <v>1537</v>
      </c>
      <c r="G657" s="661">
        <v>250</v>
      </c>
      <c r="H657" s="633">
        <v>1470</v>
      </c>
      <c r="I657" s="618"/>
      <c r="J657" s="619" t="s">
        <v>1172</v>
      </c>
      <c r="K657" s="618"/>
      <c r="L657" s="619">
        <v>93</v>
      </c>
      <c r="M657" s="620">
        <v>88</v>
      </c>
      <c r="N657" s="619"/>
      <c r="O657" s="619">
        <v>10</v>
      </c>
      <c r="P657" s="619" t="s">
        <v>760</v>
      </c>
      <c r="Q657" s="662" t="s">
        <v>1002</v>
      </c>
      <c r="R657" s="618"/>
      <c r="S657" s="621" t="s">
        <v>1506</v>
      </c>
      <c r="T657" s="619" t="s">
        <v>1079</v>
      </c>
    </row>
    <row r="658" spans="1:20">
      <c r="A658" s="630">
        <v>2601470</v>
      </c>
      <c r="B658" s="628"/>
      <c r="C658" s="623"/>
      <c r="D658" s="623"/>
      <c r="E658" s="627" t="s">
        <v>1174</v>
      </c>
      <c r="F658" s="631" t="s">
        <v>1538</v>
      </c>
      <c r="G658" s="661">
        <v>260</v>
      </c>
      <c r="H658" s="633">
        <v>1470</v>
      </c>
      <c r="I658" s="618"/>
      <c r="J658" s="619" t="s">
        <v>1174</v>
      </c>
      <c r="K658" s="618"/>
      <c r="L658" s="619">
        <v>95</v>
      </c>
      <c r="M658" s="620">
        <v>90</v>
      </c>
      <c r="N658" s="619"/>
      <c r="O658" s="619">
        <v>10</v>
      </c>
      <c r="P658" s="619" t="s">
        <v>760</v>
      </c>
      <c r="Q658" s="662" t="s">
        <v>1002</v>
      </c>
      <c r="R658" s="618"/>
      <c r="S658" s="621" t="s">
        <v>1506</v>
      </c>
      <c r="T658" s="619" t="s">
        <v>1081</v>
      </c>
    </row>
    <row r="659" spans="1:20">
      <c r="A659" s="630">
        <v>2701470</v>
      </c>
      <c r="B659" s="628"/>
      <c r="C659" s="623"/>
      <c r="D659" s="623"/>
      <c r="E659" s="627" t="s">
        <v>1176</v>
      </c>
      <c r="F659" s="631" t="s">
        <v>1539</v>
      </c>
      <c r="G659" s="661">
        <v>270</v>
      </c>
      <c r="H659" s="633">
        <v>1470</v>
      </c>
      <c r="I659" s="618"/>
      <c r="J659" s="619" t="s">
        <v>1176</v>
      </c>
      <c r="K659" s="618"/>
      <c r="L659" s="619">
        <v>94</v>
      </c>
      <c r="M659" s="620">
        <v>89</v>
      </c>
      <c r="N659" s="619"/>
      <c r="O659" s="619">
        <v>10</v>
      </c>
      <c r="P659" s="619" t="s">
        <v>760</v>
      </c>
      <c r="Q659" s="662" t="s">
        <v>1002</v>
      </c>
      <c r="R659" s="618"/>
      <c r="S659" s="621" t="s">
        <v>1506</v>
      </c>
      <c r="T659" s="619" t="s">
        <v>1083</v>
      </c>
    </row>
    <row r="660" spans="1:20">
      <c r="A660" s="630">
        <v>2811470</v>
      </c>
      <c r="B660" s="628"/>
      <c r="C660" s="623"/>
      <c r="D660" s="623"/>
      <c r="E660" s="627" t="s">
        <v>1178</v>
      </c>
      <c r="F660" s="631" t="s">
        <v>1540</v>
      </c>
      <c r="G660" s="661">
        <v>281</v>
      </c>
      <c r="H660" s="633">
        <v>1470</v>
      </c>
      <c r="I660" s="618"/>
      <c r="J660" s="619" t="s">
        <v>1178</v>
      </c>
      <c r="K660" s="618"/>
      <c r="L660" s="619">
        <v>95</v>
      </c>
      <c r="M660" s="620">
        <v>90</v>
      </c>
      <c r="N660" s="619"/>
      <c r="O660" s="619">
        <v>10</v>
      </c>
      <c r="P660" s="619" t="s">
        <v>760</v>
      </c>
      <c r="Q660" s="662" t="s">
        <v>1002</v>
      </c>
      <c r="R660" s="618"/>
      <c r="S660" s="621" t="s">
        <v>1506</v>
      </c>
      <c r="T660" s="619" t="s">
        <v>1085</v>
      </c>
    </row>
    <row r="661" spans="1:20">
      <c r="A661" s="630">
        <v>2821470</v>
      </c>
      <c r="B661" s="628"/>
      <c r="C661" s="623"/>
      <c r="D661" s="623"/>
      <c r="E661" s="627" t="s">
        <v>1180</v>
      </c>
      <c r="F661" s="631" t="s">
        <v>1541</v>
      </c>
      <c r="G661" s="661">
        <v>282</v>
      </c>
      <c r="H661" s="633">
        <v>1470</v>
      </c>
      <c r="I661" s="618"/>
      <c r="J661" s="619" t="s">
        <v>1180</v>
      </c>
      <c r="K661" s="618"/>
      <c r="L661" s="619">
        <v>95</v>
      </c>
      <c r="M661" s="620">
        <v>90</v>
      </c>
      <c r="N661" s="619"/>
      <c r="O661" s="619">
        <v>10</v>
      </c>
      <c r="P661" s="619" t="s">
        <v>760</v>
      </c>
      <c r="Q661" s="662" t="s">
        <v>1002</v>
      </c>
      <c r="R661" s="618"/>
      <c r="S661" s="621" t="s">
        <v>1506</v>
      </c>
      <c r="T661" s="619" t="s">
        <v>1087</v>
      </c>
    </row>
    <row r="662" spans="1:20">
      <c r="A662" s="630">
        <v>2901470</v>
      </c>
      <c r="B662" s="628"/>
      <c r="C662" s="623"/>
      <c r="D662" s="623"/>
      <c r="E662" s="627" t="s">
        <v>1182</v>
      </c>
      <c r="F662" s="631" t="s">
        <v>1542</v>
      </c>
      <c r="G662" s="661">
        <v>290</v>
      </c>
      <c r="H662" s="633">
        <v>1470</v>
      </c>
      <c r="I662" s="618"/>
      <c r="J662" s="619" t="s">
        <v>1182</v>
      </c>
      <c r="K662" s="618"/>
      <c r="L662" s="619">
        <v>95</v>
      </c>
      <c r="M662" s="620">
        <v>90</v>
      </c>
      <c r="N662" s="619"/>
      <c r="O662" s="619">
        <v>10</v>
      </c>
      <c r="P662" s="619" t="s">
        <v>760</v>
      </c>
      <c r="Q662" s="662" t="s">
        <v>1002</v>
      </c>
      <c r="R662" s="618"/>
      <c r="S662" s="621" t="s">
        <v>1506</v>
      </c>
      <c r="T662" s="619" t="s">
        <v>1090</v>
      </c>
    </row>
    <row r="663" spans="1:20">
      <c r="A663" s="622"/>
      <c r="B663" s="628"/>
      <c r="C663" s="629">
        <v>25</v>
      </c>
      <c r="D663" s="774" t="s">
        <v>1543</v>
      </c>
      <c r="E663" s="775"/>
      <c r="F663" s="626"/>
      <c r="G663" s="623"/>
      <c r="H663" s="627"/>
      <c r="I663" s="618"/>
      <c r="J663" s="618"/>
      <c r="K663" s="618"/>
      <c r="L663" s="618"/>
      <c r="M663" s="618"/>
      <c r="N663" s="618"/>
      <c r="O663" s="618"/>
      <c r="P663" s="618"/>
      <c r="Q663" s="662"/>
      <c r="R663" s="618"/>
      <c r="S663" s="621"/>
      <c r="T663" s="618"/>
    </row>
    <row r="664" spans="1:20">
      <c r="A664" s="622"/>
      <c r="B664" s="628"/>
      <c r="C664" s="623"/>
      <c r="D664" s="623" t="s">
        <v>756</v>
      </c>
      <c r="E664" s="627" t="s">
        <v>244</v>
      </c>
      <c r="F664" s="626"/>
      <c r="G664" s="623"/>
      <c r="H664" s="627"/>
      <c r="I664" s="618"/>
      <c r="J664" s="618"/>
      <c r="K664" s="618"/>
      <c r="L664" s="618"/>
      <c r="M664" s="618"/>
      <c r="N664" s="618"/>
      <c r="O664" s="618"/>
      <c r="P664" s="618"/>
      <c r="Q664" s="662"/>
      <c r="R664" s="618"/>
      <c r="S664" s="621"/>
      <c r="T664" s="618"/>
    </row>
    <row r="665" spans="1:20">
      <c r="A665" s="630">
        <v>1121480</v>
      </c>
      <c r="B665" s="628"/>
      <c r="C665" s="623"/>
      <c r="D665" s="623"/>
      <c r="E665" s="627" t="s">
        <v>1096</v>
      </c>
      <c r="F665" s="631" t="s">
        <v>1544</v>
      </c>
      <c r="G665" s="661">
        <v>112</v>
      </c>
      <c r="H665" s="633">
        <v>1480</v>
      </c>
      <c r="I665" s="618"/>
      <c r="J665" s="619" t="s">
        <v>1096</v>
      </c>
      <c r="K665" s="618"/>
      <c r="L665" s="619">
        <v>82</v>
      </c>
      <c r="M665" s="620">
        <v>77</v>
      </c>
      <c r="N665" s="619"/>
      <c r="O665" s="619">
        <v>10</v>
      </c>
      <c r="P665" s="619" t="s">
        <v>760</v>
      </c>
      <c r="Q665" s="662" t="s">
        <v>1545</v>
      </c>
      <c r="R665" s="618"/>
      <c r="S665" s="621" t="s">
        <v>1546</v>
      </c>
      <c r="T665" s="619" t="s">
        <v>5</v>
      </c>
    </row>
    <row r="666" spans="1:20">
      <c r="A666" s="630">
        <v>1151480</v>
      </c>
      <c r="B666" s="628"/>
      <c r="C666" s="623"/>
      <c r="D666" s="623"/>
      <c r="E666" s="627" t="s">
        <v>1099</v>
      </c>
      <c r="F666" s="631" t="s">
        <v>1547</v>
      </c>
      <c r="G666" s="661">
        <v>115</v>
      </c>
      <c r="H666" s="633">
        <v>1480</v>
      </c>
      <c r="I666" s="618"/>
      <c r="J666" s="619" t="s">
        <v>1099</v>
      </c>
      <c r="K666" s="618"/>
      <c r="L666" s="619">
        <v>86</v>
      </c>
      <c r="M666" s="620">
        <v>81</v>
      </c>
      <c r="N666" s="619"/>
      <c r="O666" s="619">
        <v>10</v>
      </c>
      <c r="P666" s="619" t="s">
        <v>760</v>
      </c>
      <c r="Q666" s="662" t="s">
        <v>1545</v>
      </c>
      <c r="R666" s="618"/>
      <c r="S666" s="621" t="s">
        <v>1546</v>
      </c>
      <c r="T666" s="619" t="s">
        <v>1101</v>
      </c>
    </row>
    <row r="667" spans="1:20">
      <c r="A667" s="630">
        <v>1231480</v>
      </c>
      <c r="B667" s="628"/>
      <c r="C667" s="623"/>
      <c r="D667" s="623"/>
      <c r="E667" s="627" t="s">
        <v>1102</v>
      </c>
      <c r="F667" s="631" t="s">
        <v>1548</v>
      </c>
      <c r="G667" s="661">
        <v>123</v>
      </c>
      <c r="H667" s="633">
        <v>1480</v>
      </c>
      <c r="I667" s="618"/>
      <c r="J667" s="619" t="s">
        <v>1102</v>
      </c>
      <c r="K667" s="618"/>
      <c r="L667" s="619">
        <v>86</v>
      </c>
      <c r="M667" s="620">
        <v>81</v>
      </c>
      <c r="N667" s="619"/>
      <c r="O667" s="619">
        <v>10</v>
      </c>
      <c r="P667" s="619" t="s">
        <v>760</v>
      </c>
      <c r="Q667" s="662" t="s">
        <v>1545</v>
      </c>
      <c r="R667" s="618"/>
      <c r="S667" s="621" t="s">
        <v>1546</v>
      </c>
      <c r="T667" s="619" t="s">
        <v>1104</v>
      </c>
    </row>
    <row r="668" spans="1:20">
      <c r="A668" s="630">
        <v>1201480</v>
      </c>
      <c r="B668" s="628"/>
      <c r="C668" s="623"/>
      <c r="D668" s="623"/>
      <c r="E668" s="627" t="s">
        <v>1105</v>
      </c>
      <c r="F668" s="631" t="s">
        <v>1549</v>
      </c>
      <c r="G668" s="661">
        <v>120</v>
      </c>
      <c r="H668" s="633">
        <v>1480</v>
      </c>
      <c r="I668" s="618"/>
      <c r="J668" s="619" t="s">
        <v>1105</v>
      </c>
      <c r="K668" s="618"/>
      <c r="L668" s="619">
        <v>86</v>
      </c>
      <c r="M668" s="620">
        <v>81</v>
      </c>
      <c r="N668" s="619"/>
      <c r="O668" s="619">
        <v>10</v>
      </c>
      <c r="P668" s="619" t="s">
        <v>760</v>
      </c>
      <c r="Q668" s="662" t="s">
        <v>1545</v>
      </c>
      <c r="R668" s="618"/>
      <c r="S668" s="621" t="s">
        <v>1546</v>
      </c>
      <c r="T668" s="619" t="s">
        <v>1107</v>
      </c>
    </row>
    <row r="669" spans="1:20">
      <c r="A669" s="630">
        <v>1001480</v>
      </c>
      <c r="B669" s="628"/>
      <c r="C669" s="623"/>
      <c r="D669" s="623"/>
      <c r="E669" s="627" t="s">
        <v>1108</v>
      </c>
      <c r="F669" s="631" t="s">
        <v>1550</v>
      </c>
      <c r="G669" s="661">
        <v>100</v>
      </c>
      <c r="H669" s="633">
        <v>1480</v>
      </c>
      <c r="I669" s="618"/>
      <c r="J669" s="619" t="s">
        <v>1108</v>
      </c>
      <c r="K669" s="618"/>
      <c r="L669" s="619">
        <v>86</v>
      </c>
      <c r="M669" s="620">
        <v>81</v>
      </c>
      <c r="N669" s="619"/>
      <c r="O669" s="619">
        <v>10</v>
      </c>
      <c r="P669" s="619" t="s">
        <v>760</v>
      </c>
      <c r="Q669" s="662" t="s">
        <v>1545</v>
      </c>
      <c r="R669" s="618"/>
      <c r="S669" s="621" t="s">
        <v>1546</v>
      </c>
      <c r="T669" s="619" t="s">
        <v>1015</v>
      </c>
    </row>
    <row r="670" spans="1:20">
      <c r="A670" s="630">
        <v>1401480</v>
      </c>
      <c r="B670" s="628"/>
      <c r="C670" s="623"/>
      <c r="D670" s="623"/>
      <c r="E670" s="627" t="s">
        <v>1110</v>
      </c>
      <c r="F670" s="631" t="s">
        <v>1551</v>
      </c>
      <c r="G670" s="661">
        <v>140</v>
      </c>
      <c r="H670" s="633">
        <v>1480</v>
      </c>
      <c r="I670" s="618"/>
      <c r="J670" s="619" t="s">
        <v>1110</v>
      </c>
      <c r="K670" s="618"/>
      <c r="L670" s="619">
        <v>86</v>
      </c>
      <c r="M670" s="620">
        <v>81</v>
      </c>
      <c r="N670" s="619"/>
      <c r="O670" s="619">
        <v>10</v>
      </c>
      <c r="P670" s="619" t="s">
        <v>760</v>
      </c>
      <c r="Q670" s="662" t="s">
        <v>1545</v>
      </c>
      <c r="R670" s="618"/>
      <c r="S670" s="621" t="s">
        <v>1546</v>
      </c>
      <c r="T670" s="619" t="s">
        <v>1017</v>
      </c>
    </row>
    <row r="671" spans="1:20">
      <c r="A671" s="630">
        <v>3001480</v>
      </c>
      <c r="B671" s="628"/>
      <c r="C671" s="623"/>
      <c r="D671" s="623" t="s">
        <v>775</v>
      </c>
      <c r="E671" s="627" t="s">
        <v>1112</v>
      </c>
      <c r="F671" s="631" t="s">
        <v>1552</v>
      </c>
      <c r="G671" s="661">
        <v>300</v>
      </c>
      <c r="H671" s="633">
        <v>1480</v>
      </c>
      <c r="I671" s="618"/>
      <c r="J671" s="619" t="s">
        <v>1112</v>
      </c>
      <c r="K671" s="618"/>
      <c r="L671" s="619">
        <v>101</v>
      </c>
      <c r="M671" s="620">
        <v>96</v>
      </c>
      <c r="N671" s="619"/>
      <c r="O671" s="619">
        <v>10</v>
      </c>
      <c r="P671" s="619" t="s">
        <v>760</v>
      </c>
      <c r="Q671" s="662" t="s">
        <v>1545</v>
      </c>
      <c r="R671" s="618"/>
      <c r="S671" s="621" t="s">
        <v>1546</v>
      </c>
      <c r="T671" s="619" t="s">
        <v>1112</v>
      </c>
    </row>
    <row r="672" spans="1:20">
      <c r="A672" s="622"/>
      <c r="B672" s="628"/>
      <c r="C672" s="623"/>
      <c r="D672" s="623" t="s">
        <v>799</v>
      </c>
      <c r="E672" s="627" t="s">
        <v>250</v>
      </c>
      <c r="F672" s="626"/>
      <c r="G672" s="623"/>
      <c r="H672" s="627"/>
      <c r="I672" s="618"/>
      <c r="J672" s="618"/>
      <c r="K672" s="618"/>
      <c r="L672" s="618"/>
      <c r="M672" s="618"/>
      <c r="N672" s="618"/>
      <c r="O672" s="618"/>
      <c r="P672" s="618"/>
      <c r="Q672" s="662"/>
      <c r="R672" s="618"/>
      <c r="S672" s="621"/>
      <c r="T672" s="618"/>
    </row>
    <row r="673" spans="1:20">
      <c r="A673" s="630">
        <v>4301480</v>
      </c>
      <c r="B673" s="628"/>
      <c r="C673" s="623"/>
      <c r="D673" s="623"/>
      <c r="E673" s="627" t="s">
        <v>1114</v>
      </c>
      <c r="F673" s="631" t="s">
        <v>1553</v>
      </c>
      <c r="G673" s="661">
        <v>430</v>
      </c>
      <c r="H673" s="633">
        <v>1480</v>
      </c>
      <c r="I673" s="618"/>
      <c r="J673" s="619" t="s">
        <v>1114</v>
      </c>
      <c r="K673" s="618"/>
      <c r="L673" s="619">
        <v>107</v>
      </c>
      <c r="M673" s="620">
        <v>102</v>
      </c>
      <c r="N673" s="619"/>
      <c r="O673" s="619">
        <v>10</v>
      </c>
      <c r="P673" s="619" t="s">
        <v>760</v>
      </c>
      <c r="Q673" s="662" t="s">
        <v>1545</v>
      </c>
      <c r="R673" s="618"/>
      <c r="S673" s="621" t="s">
        <v>1546</v>
      </c>
      <c r="T673" s="619" t="s">
        <v>1021</v>
      </c>
    </row>
    <row r="674" spans="1:20">
      <c r="A674" s="630">
        <v>4421480</v>
      </c>
      <c r="B674" s="628"/>
      <c r="C674" s="623"/>
      <c r="D674" s="623"/>
      <c r="E674" s="627" t="s">
        <v>1116</v>
      </c>
      <c r="F674" s="631" t="s">
        <v>1554</v>
      </c>
      <c r="G674" s="661">
        <v>442</v>
      </c>
      <c r="H674" s="633">
        <v>1480</v>
      </c>
      <c r="I674" s="618"/>
      <c r="J674" s="619" t="s">
        <v>1116</v>
      </c>
      <c r="K674" s="618"/>
      <c r="L674" s="619">
        <v>106</v>
      </c>
      <c r="M674" s="620">
        <v>101</v>
      </c>
      <c r="N674" s="619"/>
      <c r="O674" s="619">
        <v>10</v>
      </c>
      <c r="P674" s="619" t="s">
        <v>760</v>
      </c>
      <c r="Q674" s="662" t="s">
        <v>1545</v>
      </c>
      <c r="R674" s="618"/>
      <c r="S674" s="621" t="s">
        <v>1546</v>
      </c>
      <c r="T674" s="619" t="s">
        <v>1023</v>
      </c>
    </row>
    <row r="675" spans="1:20">
      <c r="A675" s="630">
        <v>4001480</v>
      </c>
      <c r="B675" s="628"/>
      <c r="C675" s="623"/>
      <c r="D675" s="623"/>
      <c r="E675" s="627" t="s">
        <v>1118</v>
      </c>
      <c r="F675" s="631" t="s">
        <v>1555</v>
      </c>
      <c r="G675" s="661">
        <v>400</v>
      </c>
      <c r="H675" s="633">
        <v>1480</v>
      </c>
      <c r="I675" s="618"/>
      <c r="J675" s="619" t="s">
        <v>1118</v>
      </c>
      <c r="K675" s="618"/>
      <c r="L675" s="619">
        <v>108</v>
      </c>
      <c r="M675" s="620">
        <v>103</v>
      </c>
      <c r="N675" s="619"/>
      <c r="O675" s="619">
        <v>10</v>
      </c>
      <c r="P675" s="619" t="s">
        <v>760</v>
      </c>
      <c r="Q675" s="662" t="s">
        <v>1545</v>
      </c>
      <c r="R675" s="618"/>
      <c r="S675" s="621" t="s">
        <v>1546</v>
      </c>
      <c r="T675" s="619" t="s">
        <v>1025</v>
      </c>
    </row>
    <row r="676" spans="1:20">
      <c r="A676" s="622"/>
      <c r="B676" s="628"/>
      <c r="C676" s="623"/>
      <c r="D676" s="623" t="s">
        <v>803</v>
      </c>
      <c r="E676" s="627" t="s">
        <v>252</v>
      </c>
      <c r="F676" s="626"/>
      <c r="G676" s="623"/>
      <c r="H676" s="627"/>
      <c r="I676" s="618"/>
      <c r="J676" s="618"/>
      <c r="K676" s="618"/>
      <c r="L676" s="618"/>
      <c r="M676" s="618"/>
      <c r="N676" s="618"/>
      <c r="O676" s="618"/>
      <c r="P676" s="618"/>
      <c r="Q676" s="662"/>
      <c r="R676" s="618"/>
      <c r="S676" s="621"/>
      <c r="T676" s="618"/>
    </row>
    <row r="677" spans="1:20">
      <c r="A677" s="622"/>
      <c r="B677" s="628"/>
      <c r="C677" s="623"/>
      <c r="D677" s="623"/>
      <c r="E677" s="627" t="s">
        <v>1120</v>
      </c>
      <c r="F677" s="626"/>
      <c r="G677" s="623"/>
      <c r="H677" s="627"/>
      <c r="I677" s="618"/>
      <c r="J677" s="618"/>
      <c r="K677" s="618"/>
      <c r="L677" s="618"/>
      <c r="M677" s="618"/>
      <c r="N677" s="618"/>
      <c r="O677" s="618"/>
      <c r="P677" s="618"/>
      <c r="Q677" s="662"/>
      <c r="R677" s="618"/>
      <c r="S677" s="621"/>
      <c r="T677" s="618"/>
    </row>
    <row r="678" spans="1:20">
      <c r="A678" s="630">
        <v>5611480</v>
      </c>
      <c r="B678" s="628"/>
      <c r="C678" s="623"/>
      <c r="D678" s="623"/>
      <c r="E678" s="627" t="s">
        <v>1121</v>
      </c>
      <c r="F678" s="631" t="s">
        <v>1556</v>
      </c>
      <c r="G678" s="661">
        <v>561</v>
      </c>
      <c r="H678" s="633">
        <v>1480</v>
      </c>
      <c r="I678" s="618"/>
      <c r="J678" s="619" t="s">
        <v>1121</v>
      </c>
      <c r="K678" s="618"/>
      <c r="L678" s="619">
        <v>119</v>
      </c>
      <c r="M678" s="620">
        <v>110</v>
      </c>
      <c r="N678" s="619"/>
      <c r="O678" s="619">
        <v>10</v>
      </c>
      <c r="P678" s="619" t="s">
        <v>760</v>
      </c>
      <c r="Q678" s="662" t="s">
        <v>1545</v>
      </c>
      <c r="R678" s="618"/>
      <c r="S678" s="621" t="s">
        <v>1546</v>
      </c>
      <c r="T678" s="619" t="s">
        <v>1030</v>
      </c>
    </row>
    <row r="679" spans="1:20">
      <c r="A679" s="630">
        <v>5621480</v>
      </c>
      <c r="B679" s="628"/>
      <c r="C679" s="623"/>
      <c r="D679" s="623"/>
      <c r="E679" s="627" t="s">
        <v>1123</v>
      </c>
      <c r="F679" s="631" t="s">
        <v>1557</v>
      </c>
      <c r="G679" s="661">
        <v>562</v>
      </c>
      <c r="H679" s="633">
        <v>1480</v>
      </c>
      <c r="I679" s="618"/>
      <c r="J679" s="619" t="s">
        <v>1123</v>
      </c>
      <c r="K679" s="618"/>
      <c r="L679" s="619">
        <v>119</v>
      </c>
      <c r="M679" s="620">
        <v>110</v>
      </c>
      <c r="N679" s="619"/>
      <c r="O679" s="619">
        <v>10</v>
      </c>
      <c r="P679" s="619" t="s">
        <v>760</v>
      </c>
      <c r="Q679" s="662" t="s">
        <v>1545</v>
      </c>
      <c r="R679" s="618"/>
      <c r="S679" s="621" t="s">
        <v>1546</v>
      </c>
      <c r="T679" s="619" t="s">
        <v>1033</v>
      </c>
    </row>
    <row r="680" spans="1:20">
      <c r="A680" s="630">
        <v>5631480</v>
      </c>
      <c r="B680" s="628"/>
      <c r="C680" s="623"/>
      <c r="D680" s="623"/>
      <c r="E680" s="627" t="s">
        <v>1304</v>
      </c>
      <c r="F680" s="631" t="s">
        <v>1558</v>
      </c>
      <c r="G680" s="661">
        <v>563</v>
      </c>
      <c r="H680" s="633">
        <v>1480</v>
      </c>
      <c r="I680" s="618"/>
      <c r="J680" s="619" t="s">
        <v>1304</v>
      </c>
      <c r="K680" s="618"/>
      <c r="L680" s="619">
        <v>119</v>
      </c>
      <c r="M680" s="620">
        <v>110</v>
      </c>
      <c r="N680" s="619"/>
      <c r="O680" s="619">
        <v>10</v>
      </c>
      <c r="P680" s="619" t="s">
        <v>760</v>
      </c>
      <c r="Q680" s="662" t="s">
        <v>1545</v>
      </c>
      <c r="R680" s="618"/>
      <c r="S680" s="621" t="s">
        <v>1546</v>
      </c>
      <c r="T680" s="619" t="s">
        <v>1036</v>
      </c>
    </row>
    <row r="681" spans="1:20">
      <c r="A681" s="630">
        <v>5821480</v>
      </c>
      <c r="B681" s="628"/>
      <c r="C681" s="623"/>
      <c r="D681" s="623"/>
      <c r="E681" s="627" t="s">
        <v>1134</v>
      </c>
      <c r="F681" s="631" t="s">
        <v>1559</v>
      </c>
      <c r="G681" s="661">
        <v>582</v>
      </c>
      <c r="H681" s="633">
        <v>1480</v>
      </c>
      <c r="I681" s="618"/>
      <c r="J681" s="619" t="s">
        <v>1134</v>
      </c>
      <c r="K681" s="618"/>
      <c r="L681" s="619">
        <v>118</v>
      </c>
      <c r="M681" s="620">
        <v>109</v>
      </c>
      <c r="N681" s="619"/>
      <c r="O681" s="619">
        <v>10</v>
      </c>
      <c r="P681" s="619" t="s">
        <v>760</v>
      </c>
      <c r="Q681" s="662" t="s">
        <v>1545</v>
      </c>
      <c r="R681" s="618"/>
      <c r="S681" s="621" t="s">
        <v>1546</v>
      </c>
      <c r="T681" s="619" t="s">
        <v>1037</v>
      </c>
    </row>
    <row r="682" spans="1:20">
      <c r="A682" s="630">
        <v>5001480</v>
      </c>
      <c r="B682" s="628"/>
      <c r="C682" s="623"/>
      <c r="D682" s="623"/>
      <c r="E682" s="627" t="s">
        <v>1136</v>
      </c>
      <c r="F682" s="631" t="s">
        <v>1560</v>
      </c>
      <c r="G682" s="661">
        <v>500</v>
      </c>
      <c r="H682" s="633">
        <v>1480</v>
      </c>
      <c r="I682" s="618"/>
      <c r="J682" s="619" t="s">
        <v>1136</v>
      </c>
      <c r="K682" s="618"/>
      <c r="L682" s="619">
        <v>119</v>
      </c>
      <c r="M682" s="620">
        <v>110</v>
      </c>
      <c r="N682" s="619"/>
      <c r="O682" s="619">
        <v>10</v>
      </c>
      <c r="P682" s="619" t="s">
        <v>760</v>
      </c>
      <c r="Q682" s="662" t="s">
        <v>1545</v>
      </c>
      <c r="R682" s="618"/>
      <c r="S682" s="621" t="s">
        <v>1546</v>
      </c>
      <c r="T682" s="619" t="s">
        <v>252</v>
      </c>
    </row>
    <row r="683" spans="1:20">
      <c r="A683" s="622"/>
      <c r="B683" s="628"/>
      <c r="C683" s="623"/>
      <c r="D683" s="623" t="s">
        <v>848</v>
      </c>
      <c r="E683" s="627" t="s">
        <v>1040</v>
      </c>
      <c r="F683" s="626"/>
      <c r="G683" s="623"/>
      <c r="H683" s="627"/>
      <c r="I683" s="618"/>
      <c r="J683" s="618"/>
      <c r="K683" s="618"/>
      <c r="L683" s="618"/>
      <c r="M683" s="618"/>
      <c r="N683" s="618"/>
      <c r="O683" s="618"/>
      <c r="P683" s="618"/>
      <c r="Q683" s="662"/>
      <c r="R683" s="618"/>
      <c r="S683" s="621"/>
      <c r="T683" s="618"/>
    </row>
    <row r="684" spans="1:20">
      <c r="A684" s="630">
        <v>6151480</v>
      </c>
      <c r="B684" s="628"/>
      <c r="C684" s="623"/>
      <c r="D684" s="623"/>
      <c r="E684" s="627" t="s">
        <v>1138</v>
      </c>
      <c r="F684" s="631" t="s">
        <v>1561</v>
      </c>
      <c r="G684" s="661">
        <v>615</v>
      </c>
      <c r="H684" s="633">
        <v>1480</v>
      </c>
      <c r="I684" s="618"/>
      <c r="J684" s="619" t="s">
        <v>1138</v>
      </c>
      <c r="K684" s="618"/>
      <c r="L684" s="619">
        <v>126</v>
      </c>
      <c r="M684" s="620">
        <v>117</v>
      </c>
      <c r="N684" s="619"/>
      <c r="O684" s="619">
        <v>10</v>
      </c>
      <c r="P684" s="619" t="s">
        <v>760</v>
      </c>
      <c r="Q684" s="662" t="s">
        <v>1545</v>
      </c>
      <c r="R684" s="618"/>
      <c r="S684" s="621" t="s">
        <v>1546</v>
      </c>
      <c r="T684" s="619" t="s">
        <v>1041</v>
      </c>
    </row>
    <row r="685" spans="1:20">
      <c r="A685" s="630">
        <v>6101480</v>
      </c>
      <c r="B685" s="628"/>
      <c r="C685" s="623"/>
      <c r="D685" s="623"/>
      <c r="E685" s="627" t="s">
        <v>1140</v>
      </c>
      <c r="F685" s="631" t="s">
        <v>1562</v>
      </c>
      <c r="G685" s="661">
        <v>610</v>
      </c>
      <c r="H685" s="633">
        <v>1480</v>
      </c>
      <c r="I685" s="618"/>
      <c r="J685" s="619" t="s">
        <v>1140</v>
      </c>
      <c r="K685" s="618"/>
      <c r="L685" s="619">
        <v>122</v>
      </c>
      <c r="M685" s="620">
        <v>113</v>
      </c>
      <c r="N685" s="619"/>
      <c r="O685" s="619">
        <v>10</v>
      </c>
      <c r="P685" s="619" t="s">
        <v>760</v>
      </c>
      <c r="Q685" s="662" t="s">
        <v>1545</v>
      </c>
      <c r="R685" s="618"/>
      <c r="S685" s="621" t="s">
        <v>1546</v>
      </c>
      <c r="T685" s="619" t="s">
        <v>39</v>
      </c>
    </row>
    <row r="686" spans="1:20">
      <c r="A686" s="630">
        <v>6421480</v>
      </c>
      <c r="B686" s="628"/>
      <c r="C686" s="623"/>
      <c r="D686" s="623"/>
      <c r="E686" s="627" t="s">
        <v>1142</v>
      </c>
      <c r="F686" s="631" t="s">
        <v>1563</v>
      </c>
      <c r="G686" s="661">
        <v>642</v>
      </c>
      <c r="H686" s="633">
        <v>1480</v>
      </c>
      <c r="I686" s="618"/>
      <c r="J686" s="619" t="s">
        <v>1142</v>
      </c>
      <c r="K686" s="618"/>
      <c r="L686" s="619">
        <v>125</v>
      </c>
      <c r="M686" s="620">
        <v>116</v>
      </c>
      <c r="N686" s="619"/>
      <c r="O686" s="619">
        <v>10</v>
      </c>
      <c r="P686" s="619" t="s">
        <v>760</v>
      </c>
      <c r="Q686" s="662" t="s">
        <v>1545</v>
      </c>
      <c r="R686" s="618"/>
      <c r="S686" s="621" t="s">
        <v>1546</v>
      </c>
      <c r="T686" s="619" t="s">
        <v>1046</v>
      </c>
    </row>
    <row r="687" spans="1:20">
      <c r="A687" s="630">
        <v>6001480</v>
      </c>
      <c r="B687" s="628"/>
      <c r="C687" s="623"/>
      <c r="D687" s="623"/>
      <c r="E687" s="627" t="s">
        <v>1144</v>
      </c>
      <c r="F687" s="631" t="s">
        <v>1564</v>
      </c>
      <c r="G687" s="661">
        <v>600</v>
      </c>
      <c r="H687" s="633">
        <v>1480</v>
      </c>
      <c r="I687" s="618"/>
      <c r="J687" s="619" t="s">
        <v>1144</v>
      </c>
      <c r="K687" s="618"/>
      <c r="L687" s="619">
        <v>126</v>
      </c>
      <c r="M687" s="620">
        <v>117</v>
      </c>
      <c r="N687" s="619"/>
      <c r="O687" s="619">
        <v>10</v>
      </c>
      <c r="P687" s="619" t="s">
        <v>760</v>
      </c>
      <c r="Q687" s="662" t="s">
        <v>1545</v>
      </c>
      <c r="R687" s="618"/>
      <c r="S687" s="621" t="s">
        <v>1546</v>
      </c>
      <c r="T687" s="619" t="s">
        <v>1048</v>
      </c>
    </row>
    <row r="688" spans="1:20">
      <c r="A688" s="622"/>
      <c r="B688" s="628"/>
      <c r="C688" s="623"/>
      <c r="D688" s="623" t="s">
        <v>851</v>
      </c>
      <c r="E688" s="627" t="s">
        <v>1050</v>
      </c>
      <c r="F688" s="626"/>
      <c r="G688" s="623"/>
      <c r="H688" s="627"/>
      <c r="I688" s="618"/>
      <c r="J688" s="618"/>
      <c r="K688" s="618"/>
      <c r="L688" s="618"/>
      <c r="M688" s="618"/>
      <c r="N688" s="618"/>
      <c r="O688" s="618"/>
      <c r="P688" s="618"/>
      <c r="Q688" s="662"/>
      <c r="R688" s="618"/>
      <c r="S688" s="621"/>
      <c r="T688" s="618"/>
    </row>
    <row r="689" spans="1:20">
      <c r="A689" s="630">
        <v>7341480</v>
      </c>
      <c r="B689" s="628"/>
      <c r="C689" s="623"/>
      <c r="D689" s="623"/>
      <c r="E689" s="627" t="s">
        <v>1146</v>
      </c>
      <c r="F689" s="631" t="s">
        <v>1565</v>
      </c>
      <c r="G689" s="661">
        <v>734</v>
      </c>
      <c r="H689" s="633">
        <v>1480</v>
      </c>
      <c r="I689" s="618"/>
      <c r="J689" s="619" t="s">
        <v>1146</v>
      </c>
      <c r="K689" s="618"/>
      <c r="L689" s="619">
        <v>131</v>
      </c>
      <c r="M689" s="620">
        <v>122</v>
      </c>
      <c r="N689" s="619"/>
      <c r="O689" s="619">
        <v>10</v>
      </c>
      <c r="P689" s="619" t="s">
        <v>760</v>
      </c>
      <c r="Q689" s="662" t="s">
        <v>1545</v>
      </c>
      <c r="R689" s="618"/>
      <c r="S689" s="621" t="s">
        <v>1546</v>
      </c>
      <c r="T689" s="619" t="s">
        <v>1051</v>
      </c>
    </row>
    <row r="690" spans="1:20">
      <c r="A690" s="630">
        <v>7351480</v>
      </c>
      <c r="B690" s="628"/>
      <c r="C690" s="623"/>
      <c r="D690" s="623"/>
      <c r="E690" s="627" t="s">
        <v>1148</v>
      </c>
      <c r="F690" s="631" t="s">
        <v>1566</v>
      </c>
      <c r="G690" s="661">
        <v>735</v>
      </c>
      <c r="H690" s="633">
        <v>1480</v>
      </c>
      <c r="I690" s="618"/>
      <c r="J690" s="619" t="s">
        <v>1148</v>
      </c>
      <c r="K690" s="618"/>
      <c r="L690" s="619">
        <v>131</v>
      </c>
      <c r="M690" s="620">
        <v>122</v>
      </c>
      <c r="N690" s="619"/>
      <c r="O690" s="619">
        <v>10</v>
      </c>
      <c r="P690" s="619" t="s">
        <v>760</v>
      </c>
      <c r="Q690" s="662" t="s">
        <v>1545</v>
      </c>
      <c r="R690" s="618"/>
      <c r="S690" s="621" t="s">
        <v>1546</v>
      </c>
      <c r="T690" s="619" t="s">
        <v>1053</v>
      </c>
    </row>
    <row r="691" spans="1:20">
      <c r="A691" s="630">
        <v>7301480</v>
      </c>
      <c r="B691" s="628"/>
      <c r="C691" s="623"/>
      <c r="D691" s="623"/>
      <c r="E691" s="627" t="s">
        <v>1150</v>
      </c>
      <c r="F691" s="631" t="s">
        <v>1567</v>
      </c>
      <c r="G691" s="661">
        <v>730</v>
      </c>
      <c r="H691" s="633">
        <v>1480</v>
      </c>
      <c r="I691" s="618"/>
      <c r="J691" s="619" t="s">
        <v>1150</v>
      </c>
      <c r="K691" s="618"/>
      <c r="L691" s="619">
        <v>131</v>
      </c>
      <c r="M691" s="620">
        <v>122</v>
      </c>
      <c r="N691" s="619"/>
      <c r="O691" s="619">
        <v>10</v>
      </c>
      <c r="P691" s="619" t="s">
        <v>760</v>
      </c>
      <c r="Q691" s="662" t="s">
        <v>1545</v>
      </c>
      <c r="R691" s="618"/>
      <c r="S691" s="621" t="s">
        <v>1546</v>
      </c>
      <c r="T691" s="619" t="s">
        <v>1055</v>
      </c>
    </row>
    <row r="692" spans="1:20">
      <c r="A692" s="630">
        <v>7001480</v>
      </c>
      <c r="B692" s="628"/>
      <c r="C692" s="623"/>
      <c r="D692" s="623"/>
      <c r="E692" s="627" t="s">
        <v>1152</v>
      </c>
      <c r="F692" s="631" t="s">
        <v>1568</v>
      </c>
      <c r="G692" s="661">
        <v>700</v>
      </c>
      <c r="H692" s="633">
        <v>1480</v>
      </c>
      <c r="I692" s="618"/>
      <c r="J692" s="619" t="s">
        <v>1152</v>
      </c>
      <c r="K692" s="618"/>
      <c r="L692" s="619">
        <v>132</v>
      </c>
      <c r="M692" s="620">
        <v>123</v>
      </c>
      <c r="N692" s="619"/>
      <c r="O692" s="619">
        <v>10</v>
      </c>
      <c r="P692" s="619" t="s">
        <v>760</v>
      </c>
      <c r="Q692" s="662" t="s">
        <v>1545</v>
      </c>
      <c r="R692" s="618"/>
      <c r="S692" s="621" t="s">
        <v>1546</v>
      </c>
      <c r="T692" s="619" t="s">
        <v>1057</v>
      </c>
    </row>
    <row r="693" spans="1:20">
      <c r="A693" s="622"/>
      <c r="B693" s="628"/>
      <c r="C693" s="623"/>
      <c r="D693" s="623" t="s">
        <v>854</v>
      </c>
      <c r="E693" s="627" t="s">
        <v>256</v>
      </c>
      <c r="F693" s="626"/>
      <c r="G693" s="623"/>
      <c r="H693" s="627"/>
      <c r="I693" s="618"/>
      <c r="J693" s="618"/>
      <c r="K693" s="618"/>
      <c r="L693" s="618"/>
      <c r="M693" s="618"/>
      <c r="N693" s="618"/>
      <c r="O693" s="618"/>
      <c r="P693" s="618"/>
      <c r="Q693" s="662"/>
      <c r="R693" s="618"/>
      <c r="S693" s="621"/>
      <c r="T693" s="618"/>
    </row>
    <row r="694" spans="1:20">
      <c r="A694" s="630">
        <v>8951480</v>
      </c>
      <c r="B694" s="628"/>
      <c r="C694" s="623"/>
      <c r="D694" s="623"/>
      <c r="E694" s="627" t="s">
        <v>1154</v>
      </c>
      <c r="F694" s="631" t="s">
        <v>1569</v>
      </c>
      <c r="G694" s="661">
        <v>895</v>
      </c>
      <c r="H694" s="633">
        <v>1480</v>
      </c>
      <c r="I694" s="618"/>
      <c r="J694" s="619" t="s">
        <v>1154</v>
      </c>
      <c r="K694" s="618"/>
      <c r="L694" s="619">
        <v>139</v>
      </c>
      <c r="M694" s="620">
        <v>129</v>
      </c>
      <c r="N694" s="619"/>
      <c r="O694" s="619">
        <v>10</v>
      </c>
      <c r="P694" s="619" t="s">
        <v>760</v>
      </c>
      <c r="Q694" s="662" t="s">
        <v>1545</v>
      </c>
      <c r="R694" s="618"/>
      <c r="S694" s="621" t="s">
        <v>1546</v>
      </c>
      <c r="T694" s="619" t="s">
        <v>1059</v>
      </c>
    </row>
    <row r="695" spans="1:20">
      <c r="A695" s="630">
        <v>8001480</v>
      </c>
      <c r="B695" s="670"/>
      <c r="C695" s="632"/>
      <c r="D695" s="632"/>
      <c r="E695" s="637" t="s">
        <v>1156</v>
      </c>
      <c r="F695" s="631" t="s">
        <v>1570</v>
      </c>
      <c r="G695" s="661">
        <v>800</v>
      </c>
      <c r="H695" s="633">
        <v>1480</v>
      </c>
      <c r="I695" s="618"/>
      <c r="J695" s="619" t="s">
        <v>1156</v>
      </c>
      <c r="K695" s="618"/>
      <c r="L695" s="619">
        <v>139</v>
      </c>
      <c r="M695" s="620">
        <v>129</v>
      </c>
      <c r="N695" s="619"/>
      <c r="O695" s="619">
        <v>10</v>
      </c>
      <c r="P695" s="619" t="s">
        <v>760</v>
      </c>
      <c r="Q695" s="662" t="s">
        <v>1545</v>
      </c>
      <c r="R695" s="618"/>
      <c r="S695" s="621" t="s">
        <v>1546</v>
      </c>
      <c r="T695" s="619" t="s">
        <v>1061</v>
      </c>
    </row>
    <row r="696" spans="1:20">
      <c r="A696" s="622"/>
      <c r="B696" s="628"/>
      <c r="C696" s="623"/>
      <c r="D696" s="623" t="s">
        <v>857</v>
      </c>
      <c r="E696" s="627" t="s">
        <v>1063</v>
      </c>
      <c r="F696" s="626"/>
      <c r="G696" s="623"/>
      <c r="H696" s="627"/>
      <c r="I696" s="618"/>
      <c r="J696" s="618"/>
      <c r="K696" s="618"/>
      <c r="L696" s="618"/>
      <c r="M696" s="618"/>
      <c r="N696" s="618"/>
      <c r="O696" s="618"/>
      <c r="P696" s="618"/>
      <c r="Q696" s="662"/>
      <c r="R696" s="618"/>
      <c r="S696" s="621"/>
      <c r="T696" s="618"/>
    </row>
    <row r="697" spans="1:20">
      <c r="A697" s="630">
        <v>2101480</v>
      </c>
      <c r="B697" s="628"/>
      <c r="C697" s="623"/>
      <c r="D697" s="623"/>
      <c r="E697" s="627" t="s">
        <v>1158</v>
      </c>
      <c r="F697" s="631" t="s">
        <v>1571</v>
      </c>
      <c r="G697" s="661">
        <v>210</v>
      </c>
      <c r="H697" s="633">
        <v>1480</v>
      </c>
      <c r="I697" s="618"/>
      <c r="J697" s="619" t="s">
        <v>1158</v>
      </c>
      <c r="K697" s="618"/>
      <c r="L697" s="619">
        <v>89</v>
      </c>
      <c r="M697" s="620">
        <v>84</v>
      </c>
      <c r="N697" s="619"/>
      <c r="O697" s="619">
        <v>10</v>
      </c>
      <c r="P697" s="619" t="s">
        <v>760</v>
      </c>
      <c r="Q697" s="662" t="s">
        <v>1545</v>
      </c>
      <c r="R697" s="618"/>
      <c r="S697" s="621" t="s">
        <v>1546</v>
      </c>
      <c r="T697" s="619" t="s">
        <v>1064</v>
      </c>
    </row>
    <row r="698" spans="1:20">
      <c r="A698" s="630">
        <v>2201480</v>
      </c>
      <c r="B698" s="628"/>
      <c r="C698" s="623"/>
      <c r="D698" s="623"/>
      <c r="E698" s="627" t="s">
        <v>1160</v>
      </c>
      <c r="F698" s="631" t="s">
        <v>1572</v>
      </c>
      <c r="G698" s="661">
        <v>220</v>
      </c>
      <c r="H698" s="633">
        <v>1480</v>
      </c>
      <c r="I698" s="618"/>
      <c r="J698" s="619" t="s">
        <v>1160</v>
      </c>
      <c r="K698" s="618"/>
      <c r="L698" s="619">
        <v>90</v>
      </c>
      <c r="M698" s="620">
        <v>85</v>
      </c>
      <c r="N698" s="619"/>
      <c r="O698" s="619">
        <v>10</v>
      </c>
      <c r="P698" s="619" t="s">
        <v>760</v>
      </c>
      <c r="Q698" s="662" t="s">
        <v>1545</v>
      </c>
      <c r="R698" s="618"/>
      <c r="S698" s="621" t="s">
        <v>1546</v>
      </c>
      <c r="T698" s="619" t="s">
        <v>1066</v>
      </c>
    </row>
    <row r="699" spans="1:20">
      <c r="A699" s="630">
        <v>2251480</v>
      </c>
      <c r="B699" s="628"/>
      <c r="C699" s="623"/>
      <c r="D699" s="623"/>
      <c r="E699" s="627" t="s">
        <v>1162</v>
      </c>
      <c r="F699" s="631" t="s">
        <v>1573</v>
      </c>
      <c r="G699" s="661">
        <v>225</v>
      </c>
      <c r="H699" s="633">
        <v>1480</v>
      </c>
      <c r="I699" s="618"/>
      <c r="J699" s="619" t="s">
        <v>1162</v>
      </c>
      <c r="K699" s="618"/>
      <c r="L699" s="619">
        <v>91</v>
      </c>
      <c r="M699" s="620">
        <v>86</v>
      </c>
      <c r="N699" s="619"/>
      <c r="O699" s="619">
        <v>10</v>
      </c>
      <c r="P699" s="619" t="s">
        <v>760</v>
      </c>
      <c r="Q699" s="662" t="s">
        <v>1545</v>
      </c>
      <c r="R699" s="618"/>
      <c r="S699" s="621" t="s">
        <v>1546</v>
      </c>
      <c r="T699" s="619" t="s">
        <v>23</v>
      </c>
    </row>
    <row r="700" spans="1:20">
      <c r="A700" s="622"/>
      <c r="B700" s="628"/>
      <c r="C700" s="623"/>
      <c r="D700" s="623"/>
      <c r="E700" s="627" t="s">
        <v>1164</v>
      </c>
      <c r="F700" s="626"/>
      <c r="G700" s="623"/>
      <c r="H700" s="627"/>
      <c r="I700" s="618"/>
      <c r="J700" s="618"/>
      <c r="K700" s="618"/>
      <c r="L700" s="618"/>
      <c r="M700" s="618"/>
      <c r="N700" s="618"/>
      <c r="O700" s="618"/>
      <c r="P700" s="618"/>
      <c r="Q700" s="662"/>
      <c r="R700" s="618"/>
      <c r="S700" s="621"/>
      <c r="T700" s="618"/>
    </row>
    <row r="701" spans="1:20">
      <c r="A701" s="630">
        <v>2311480</v>
      </c>
      <c r="B701" s="628"/>
      <c r="C701" s="623"/>
      <c r="D701" s="623"/>
      <c r="E701" s="627" t="s">
        <v>1165</v>
      </c>
      <c r="F701" s="631" t="s">
        <v>1574</v>
      </c>
      <c r="G701" s="661">
        <v>231</v>
      </c>
      <c r="H701" s="633">
        <v>1480</v>
      </c>
      <c r="I701" s="618"/>
      <c r="J701" s="619" t="s">
        <v>1165</v>
      </c>
      <c r="K701" s="618"/>
      <c r="L701" s="619">
        <v>92</v>
      </c>
      <c r="M701" s="620">
        <v>87</v>
      </c>
      <c r="N701" s="619"/>
      <c r="O701" s="619">
        <v>10</v>
      </c>
      <c r="P701" s="619" t="s">
        <v>760</v>
      </c>
      <c r="Q701" s="662" t="s">
        <v>1545</v>
      </c>
      <c r="R701" s="618"/>
      <c r="S701" s="621" t="s">
        <v>1546</v>
      </c>
      <c r="T701" s="619" t="s">
        <v>1072</v>
      </c>
    </row>
    <row r="702" spans="1:20">
      <c r="A702" s="630">
        <v>2331480</v>
      </c>
      <c r="B702" s="628"/>
      <c r="C702" s="623"/>
      <c r="D702" s="623"/>
      <c r="E702" s="627" t="s">
        <v>1167</v>
      </c>
      <c r="F702" s="631" t="s">
        <v>1575</v>
      </c>
      <c r="G702" s="661">
        <v>233</v>
      </c>
      <c r="H702" s="633">
        <v>1480</v>
      </c>
      <c r="I702" s="618"/>
      <c r="J702" s="619" t="s">
        <v>1167</v>
      </c>
      <c r="K702" s="618"/>
      <c r="L702" s="619">
        <v>92</v>
      </c>
      <c r="M702" s="620">
        <v>87</v>
      </c>
      <c r="N702" s="619"/>
      <c r="O702" s="619">
        <v>10</v>
      </c>
      <c r="P702" s="619" t="s">
        <v>760</v>
      </c>
      <c r="Q702" s="662" t="s">
        <v>1545</v>
      </c>
      <c r="R702" s="618"/>
      <c r="S702" s="621" t="s">
        <v>1546</v>
      </c>
      <c r="T702" s="619" t="s">
        <v>1169</v>
      </c>
    </row>
    <row r="703" spans="1:20">
      <c r="A703" s="630">
        <v>2391480</v>
      </c>
      <c r="B703" s="628"/>
      <c r="C703" s="623"/>
      <c r="D703" s="623"/>
      <c r="E703" s="627" t="s">
        <v>1170</v>
      </c>
      <c r="F703" s="631" t="s">
        <v>1576</v>
      </c>
      <c r="G703" s="661">
        <v>239</v>
      </c>
      <c r="H703" s="633">
        <v>1480</v>
      </c>
      <c r="I703" s="618"/>
      <c r="J703" s="619" t="s">
        <v>1170</v>
      </c>
      <c r="K703" s="618"/>
      <c r="L703" s="619">
        <v>92</v>
      </c>
      <c r="M703" s="620">
        <v>87</v>
      </c>
      <c r="N703" s="619"/>
      <c r="O703" s="619">
        <v>10</v>
      </c>
      <c r="P703" s="619" t="s">
        <v>760</v>
      </c>
      <c r="Q703" s="662" t="s">
        <v>1545</v>
      </c>
      <c r="R703" s="618"/>
      <c r="S703" s="621" t="s">
        <v>1546</v>
      </c>
      <c r="T703" s="619" t="s">
        <v>1078</v>
      </c>
    </row>
    <row r="704" spans="1:20">
      <c r="A704" s="630">
        <v>2501480</v>
      </c>
      <c r="B704" s="628"/>
      <c r="C704" s="623"/>
      <c r="D704" s="623"/>
      <c r="E704" s="627" t="s">
        <v>1172</v>
      </c>
      <c r="F704" s="631" t="s">
        <v>1577</v>
      </c>
      <c r="G704" s="661">
        <v>250</v>
      </c>
      <c r="H704" s="633">
        <v>1480</v>
      </c>
      <c r="I704" s="618"/>
      <c r="J704" s="619" t="s">
        <v>1172</v>
      </c>
      <c r="K704" s="618"/>
      <c r="L704" s="619">
        <v>93</v>
      </c>
      <c r="M704" s="620">
        <v>88</v>
      </c>
      <c r="N704" s="619"/>
      <c r="O704" s="619">
        <v>10</v>
      </c>
      <c r="P704" s="619" t="s">
        <v>760</v>
      </c>
      <c r="Q704" s="662" t="s">
        <v>1545</v>
      </c>
      <c r="R704" s="618"/>
      <c r="S704" s="621" t="s">
        <v>1546</v>
      </c>
      <c r="T704" s="619" t="s">
        <v>1079</v>
      </c>
    </row>
    <row r="705" spans="1:20">
      <c r="A705" s="630">
        <v>2601480</v>
      </c>
      <c r="B705" s="628"/>
      <c r="C705" s="623"/>
      <c r="D705" s="623"/>
      <c r="E705" s="627" t="s">
        <v>1174</v>
      </c>
      <c r="F705" s="631" t="s">
        <v>1578</v>
      </c>
      <c r="G705" s="661">
        <v>260</v>
      </c>
      <c r="H705" s="633">
        <v>1480</v>
      </c>
      <c r="I705" s="618"/>
      <c r="J705" s="619" t="s">
        <v>1174</v>
      </c>
      <c r="K705" s="618"/>
      <c r="L705" s="619">
        <v>95</v>
      </c>
      <c r="M705" s="620">
        <v>90</v>
      </c>
      <c r="N705" s="619"/>
      <c r="O705" s="619">
        <v>10</v>
      </c>
      <c r="P705" s="619" t="s">
        <v>760</v>
      </c>
      <c r="Q705" s="662" t="s">
        <v>1545</v>
      </c>
      <c r="R705" s="618"/>
      <c r="S705" s="621" t="s">
        <v>1546</v>
      </c>
      <c r="T705" s="619" t="s">
        <v>1081</v>
      </c>
    </row>
    <row r="706" spans="1:20">
      <c r="A706" s="630">
        <v>2701480</v>
      </c>
      <c r="B706" s="628"/>
      <c r="C706" s="623"/>
      <c r="D706" s="623"/>
      <c r="E706" s="627" t="s">
        <v>1176</v>
      </c>
      <c r="F706" s="631" t="s">
        <v>1579</v>
      </c>
      <c r="G706" s="661">
        <v>270</v>
      </c>
      <c r="H706" s="633">
        <v>1480</v>
      </c>
      <c r="I706" s="618"/>
      <c r="J706" s="619" t="s">
        <v>1176</v>
      </c>
      <c r="K706" s="618"/>
      <c r="L706" s="619">
        <v>94</v>
      </c>
      <c r="M706" s="620">
        <v>89</v>
      </c>
      <c r="N706" s="619"/>
      <c r="O706" s="619">
        <v>10</v>
      </c>
      <c r="P706" s="619" t="s">
        <v>760</v>
      </c>
      <c r="Q706" s="662" t="s">
        <v>1545</v>
      </c>
      <c r="R706" s="618"/>
      <c r="S706" s="621" t="s">
        <v>1546</v>
      </c>
      <c r="T706" s="619" t="s">
        <v>1083</v>
      </c>
    </row>
    <row r="707" spans="1:20">
      <c r="A707" s="630">
        <v>2811480</v>
      </c>
      <c r="B707" s="628"/>
      <c r="C707" s="623"/>
      <c r="D707" s="623"/>
      <c r="E707" s="627" t="s">
        <v>1178</v>
      </c>
      <c r="F707" s="631" t="s">
        <v>1580</v>
      </c>
      <c r="G707" s="661">
        <v>281</v>
      </c>
      <c r="H707" s="633">
        <v>1480</v>
      </c>
      <c r="I707" s="618"/>
      <c r="J707" s="619" t="s">
        <v>1178</v>
      </c>
      <c r="K707" s="618"/>
      <c r="L707" s="619">
        <v>95</v>
      </c>
      <c r="M707" s="620">
        <v>90</v>
      </c>
      <c r="N707" s="619"/>
      <c r="O707" s="619">
        <v>10</v>
      </c>
      <c r="P707" s="619" t="s">
        <v>760</v>
      </c>
      <c r="Q707" s="662" t="s">
        <v>1545</v>
      </c>
      <c r="R707" s="618"/>
      <c r="S707" s="621" t="s">
        <v>1546</v>
      </c>
      <c r="T707" s="619" t="s">
        <v>1085</v>
      </c>
    </row>
    <row r="708" spans="1:20">
      <c r="A708" s="630">
        <v>2821480</v>
      </c>
      <c r="B708" s="628"/>
      <c r="C708" s="623"/>
      <c r="D708" s="623"/>
      <c r="E708" s="627" t="s">
        <v>1180</v>
      </c>
      <c r="F708" s="631" t="s">
        <v>1581</v>
      </c>
      <c r="G708" s="661">
        <v>282</v>
      </c>
      <c r="H708" s="633">
        <v>1480</v>
      </c>
      <c r="I708" s="618"/>
      <c r="J708" s="619" t="s">
        <v>1180</v>
      </c>
      <c r="K708" s="618"/>
      <c r="L708" s="619">
        <v>95</v>
      </c>
      <c r="M708" s="620">
        <v>90</v>
      </c>
      <c r="N708" s="619"/>
      <c r="O708" s="619">
        <v>10</v>
      </c>
      <c r="P708" s="619" t="s">
        <v>760</v>
      </c>
      <c r="Q708" s="662" t="s">
        <v>1545</v>
      </c>
      <c r="R708" s="618"/>
      <c r="S708" s="621" t="s">
        <v>1546</v>
      </c>
      <c r="T708" s="619" t="s">
        <v>1087</v>
      </c>
    </row>
    <row r="709" spans="1:20">
      <c r="A709" s="630">
        <v>2901480</v>
      </c>
      <c r="B709" s="628"/>
      <c r="C709" s="623"/>
      <c r="D709" s="623"/>
      <c r="E709" s="627" t="s">
        <v>1182</v>
      </c>
      <c r="F709" s="631" t="s">
        <v>1582</v>
      </c>
      <c r="G709" s="661">
        <v>290</v>
      </c>
      <c r="H709" s="633">
        <v>1480</v>
      </c>
      <c r="I709" s="618"/>
      <c r="J709" s="619" t="s">
        <v>1182</v>
      </c>
      <c r="K709" s="618"/>
      <c r="L709" s="619">
        <v>95</v>
      </c>
      <c r="M709" s="620">
        <v>90</v>
      </c>
      <c r="N709" s="619"/>
      <c r="O709" s="619">
        <v>10</v>
      </c>
      <c r="P709" s="619" t="s">
        <v>760</v>
      </c>
      <c r="Q709" s="662" t="s">
        <v>1545</v>
      </c>
      <c r="R709" s="618"/>
      <c r="S709" s="621" t="s">
        <v>1546</v>
      </c>
      <c r="T709" s="619" t="s">
        <v>1090</v>
      </c>
    </row>
    <row r="710" spans="1:20">
      <c r="A710" s="622"/>
      <c r="B710" s="628"/>
      <c r="C710" s="629">
        <v>26</v>
      </c>
      <c r="D710" s="774" t="s">
        <v>1583</v>
      </c>
      <c r="E710" s="775"/>
      <c r="F710" s="626"/>
      <c r="G710" s="623"/>
      <c r="H710" s="627"/>
      <c r="I710" s="618"/>
      <c r="J710" s="618"/>
      <c r="K710" s="618"/>
      <c r="L710" s="618"/>
      <c r="M710" s="618"/>
      <c r="N710" s="618"/>
      <c r="O710" s="618"/>
      <c r="P710" s="618"/>
      <c r="Q710" s="662"/>
      <c r="R710" s="618"/>
      <c r="S710" s="621"/>
      <c r="T710" s="618"/>
    </row>
    <row r="711" spans="1:20">
      <c r="A711" s="622"/>
      <c r="B711" s="628"/>
      <c r="C711" s="623"/>
      <c r="D711" s="623" t="s">
        <v>756</v>
      </c>
      <c r="E711" s="627" t="s">
        <v>244</v>
      </c>
      <c r="F711" s="626"/>
      <c r="G711" s="623"/>
      <c r="H711" s="627"/>
      <c r="I711" s="618"/>
      <c r="J711" s="618"/>
      <c r="K711" s="618"/>
      <c r="L711" s="618"/>
      <c r="M711" s="618"/>
      <c r="N711" s="618"/>
      <c r="O711" s="618"/>
      <c r="P711" s="618"/>
      <c r="Q711" s="662"/>
      <c r="R711" s="618"/>
      <c r="S711" s="621"/>
      <c r="T711" s="618"/>
    </row>
    <row r="712" spans="1:20">
      <c r="A712" s="630">
        <v>1121490</v>
      </c>
      <c r="B712" s="628"/>
      <c r="C712" s="623"/>
      <c r="D712" s="623"/>
      <c r="E712" s="627" t="s">
        <v>1096</v>
      </c>
      <c r="F712" s="631" t="s">
        <v>1584</v>
      </c>
      <c r="G712" s="661">
        <v>112</v>
      </c>
      <c r="H712" s="633">
        <v>1490</v>
      </c>
      <c r="I712" s="618"/>
      <c r="J712" s="619" t="s">
        <v>1096</v>
      </c>
      <c r="K712" s="618"/>
      <c r="L712" s="619">
        <v>82</v>
      </c>
      <c r="M712" s="620">
        <v>77</v>
      </c>
      <c r="N712" s="619"/>
      <c r="O712" s="619">
        <v>10</v>
      </c>
      <c r="P712" s="619" t="s">
        <v>760</v>
      </c>
      <c r="Q712" s="662" t="s">
        <v>1002</v>
      </c>
      <c r="R712" s="618"/>
      <c r="S712" s="621" t="s">
        <v>1585</v>
      </c>
      <c r="T712" s="619" t="s">
        <v>5</v>
      </c>
    </row>
    <row r="713" spans="1:20">
      <c r="A713" s="630">
        <v>1151490</v>
      </c>
      <c r="B713" s="628"/>
      <c r="C713" s="623"/>
      <c r="D713" s="623"/>
      <c r="E713" s="627" t="s">
        <v>1099</v>
      </c>
      <c r="F713" s="631" t="s">
        <v>1586</v>
      </c>
      <c r="G713" s="661">
        <v>115</v>
      </c>
      <c r="H713" s="633">
        <v>1490</v>
      </c>
      <c r="I713" s="618"/>
      <c r="J713" s="619" t="s">
        <v>1099</v>
      </c>
      <c r="K713" s="618"/>
      <c r="L713" s="619">
        <v>86</v>
      </c>
      <c r="M713" s="620">
        <v>81</v>
      </c>
      <c r="N713" s="619"/>
      <c r="O713" s="619">
        <v>10</v>
      </c>
      <c r="P713" s="619" t="s">
        <v>760</v>
      </c>
      <c r="Q713" s="662" t="s">
        <v>1002</v>
      </c>
      <c r="R713" s="618"/>
      <c r="S713" s="621" t="s">
        <v>1585</v>
      </c>
      <c r="T713" s="619" t="s">
        <v>1101</v>
      </c>
    </row>
    <row r="714" spans="1:20">
      <c r="A714" s="630">
        <v>1231490</v>
      </c>
      <c r="B714" s="628"/>
      <c r="C714" s="623"/>
      <c r="D714" s="623"/>
      <c r="E714" s="627" t="s">
        <v>1102</v>
      </c>
      <c r="F714" s="631" t="s">
        <v>1587</v>
      </c>
      <c r="G714" s="661">
        <v>123</v>
      </c>
      <c r="H714" s="633">
        <v>1490</v>
      </c>
      <c r="I714" s="618"/>
      <c r="J714" s="619" t="s">
        <v>1102</v>
      </c>
      <c r="K714" s="618"/>
      <c r="L714" s="619">
        <v>86</v>
      </c>
      <c r="M714" s="620">
        <v>81</v>
      </c>
      <c r="N714" s="619"/>
      <c r="O714" s="619">
        <v>10</v>
      </c>
      <c r="P714" s="619" t="s">
        <v>760</v>
      </c>
      <c r="Q714" s="662" t="s">
        <v>1002</v>
      </c>
      <c r="R714" s="618"/>
      <c r="S714" s="621" t="s">
        <v>1585</v>
      </c>
      <c r="T714" s="619" t="s">
        <v>1104</v>
      </c>
    </row>
    <row r="715" spans="1:20">
      <c r="A715" s="630">
        <v>1201490</v>
      </c>
      <c r="B715" s="628"/>
      <c r="C715" s="623"/>
      <c r="D715" s="623"/>
      <c r="E715" s="627" t="s">
        <v>1105</v>
      </c>
      <c r="F715" s="631" t="s">
        <v>1588</v>
      </c>
      <c r="G715" s="661">
        <v>120</v>
      </c>
      <c r="H715" s="633">
        <v>1490</v>
      </c>
      <c r="I715" s="618"/>
      <c r="J715" s="619" t="s">
        <v>1105</v>
      </c>
      <c r="K715" s="618"/>
      <c r="L715" s="619">
        <v>86</v>
      </c>
      <c r="M715" s="620">
        <v>81</v>
      </c>
      <c r="N715" s="619"/>
      <c r="O715" s="619">
        <v>10</v>
      </c>
      <c r="P715" s="619" t="s">
        <v>760</v>
      </c>
      <c r="Q715" s="662" t="s">
        <v>1002</v>
      </c>
      <c r="R715" s="618"/>
      <c r="S715" s="621" t="s">
        <v>1585</v>
      </c>
      <c r="T715" s="619" t="s">
        <v>1107</v>
      </c>
    </row>
    <row r="716" spans="1:20">
      <c r="A716" s="630">
        <v>1001490</v>
      </c>
      <c r="B716" s="628"/>
      <c r="C716" s="623"/>
      <c r="D716" s="623"/>
      <c r="E716" s="627" t="s">
        <v>1108</v>
      </c>
      <c r="F716" s="631" t="s">
        <v>1589</v>
      </c>
      <c r="G716" s="661">
        <v>100</v>
      </c>
      <c r="H716" s="633">
        <v>1490</v>
      </c>
      <c r="I716" s="618"/>
      <c r="J716" s="619" t="s">
        <v>1108</v>
      </c>
      <c r="K716" s="618"/>
      <c r="L716" s="619">
        <v>86</v>
      </c>
      <c r="M716" s="620">
        <v>81</v>
      </c>
      <c r="N716" s="619"/>
      <c r="O716" s="619">
        <v>10</v>
      </c>
      <c r="P716" s="619" t="s">
        <v>760</v>
      </c>
      <c r="Q716" s="662" t="s">
        <v>1002</v>
      </c>
      <c r="R716" s="618"/>
      <c r="S716" s="621" t="s">
        <v>1585</v>
      </c>
      <c r="T716" s="619" t="s">
        <v>1015</v>
      </c>
    </row>
    <row r="717" spans="1:20">
      <c r="A717" s="630">
        <v>1401490</v>
      </c>
      <c r="B717" s="628"/>
      <c r="C717" s="623"/>
      <c r="D717" s="623"/>
      <c r="E717" s="627" t="s">
        <v>1110</v>
      </c>
      <c r="F717" s="631" t="s">
        <v>1590</v>
      </c>
      <c r="G717" s="661">
        <v>140</v>
      </c>
      <c r="H717" s="633">
        <v>1490</v>
      </c>
      <c r="I717" s="618"/>
      <c r="J717" s="619" t="s">
        <v>1110</v>
      </c>
      <c r="K717" s="618"/>
      <c r="L717" s="619">
        <v>86</v>
      </c>
      <c r="M717" s="620">
        <v>81</v>
      </c>
      <c r="N717" s="619"/>
      <c r="O717" s="619">
        <v>10</v>
      </c>
      <c r="P717" s="619" t="s">
        <v>760</v>
      </c>
      <c r="Q717" s="662" t="s">
        <v>1002</v>
      </c>
      <c r="R717" s="618"/>
      <c r="S717" s="621" t="s">
        <v>1585</v>
      </c>
      <c r="T717" s="619" t="s">
        <v>1017</v>
      </c>
    </row>
    <row r="718" spans="1:20">
      <c r="A718" s="630">
        <v>3001490</v>
      </c>
      <c r="B718" s="628"/>
      <c r="C718" s="623"/>
      <c r="D718" s="623" t="s">
        <v>775</v>
      </c>
      <c r="E718" s="627" t="s">
        <v>1112</v>
      </c>
      <c r="F718" s="631" t="s">
        <v>1591</v>
      </c>
      <c r="G718" s="661">
        <v>300</v>
      </c>
      <c r="H718" s="633">
        <v>1490</v>
      </c>
      <c r="I718" s="618"/>
      <c r="J718" s="619" t="s">
        <v>1112</v>
      </c>
      <c r="K718" s="618"/>
      <c r="L718" s="619">
        <v>101</v>
      </c>
      <c r="M718" s="620">
        <v>96</v>
      </c>
      <c r="N718" s="619"/>
      <c r="O718" s="619">
        <v>10</v>
      </c>
      <c r="P718" s="619" t="s">
        <v>760</v>
      </c>
      <c r="Q718" s="662"/>
      <c r="R718" s="618"/>
      <c r="S718" s="621" t="s">
        <v>1585</v>
      </c>
      <c r="T718" s="619" t="s">
        <v>1112</v>
      </c>
    </row>
    <row r="719" spans="1:20">
      <c r="A719" s="622"/>
      <c r="B719" s="628"/>
      <c r="C719" s="623"/>
      <c r="D719" s="623" t="s">
        <v>799</v>
      </c>
      <c r="E719" s="627" t="s">
        <v>250</v>
      </c>
      <c r="F719" s="626"/>
      <c r="G719" s="623"/>
      <c r="H719" s="627"/>
      <c r="I719" s="618"/>
      <c r="J719" s="618"/>
      <c r="K719" s="618"/>
      <c r="L719" s="618"/>
      <c r="M719" s="618"/>
      <c r="N719" s="618"/>
      <c r="O719" s="618"/>
      <c r="P719" s="618"/>
      <c r="Q719" s="662"/>
      <c r="R719" s="618"/>
      <c r="S719" s="621"/>
      <c r="T719" s="618"/>
    </row>
    <row r="720" spans="1:20">
      <c r="A720" s="630">
        <v>4301490</v>
      </c>
      <c r="B720" s="628"/>
      <c r="C720" s="623"/>
      <c r="D720" s="623"/>
      <c r="E720" s="627" t="s">
        <v>1114</v>
      </c>
      <c r="F720" s="631" t="s">
        <v>1592</v>
      </c>
      <c r="G720" s="661">
        <v>430</v>
      </c>
      <c r="H720" s="633">
        <v>1490</v>
      </c>
      <c r="I720" s="618"/>
      <c r="J720" s="619" t="s">
        <v>1114</v>
      </c>
      <c r="K720" s="618"/>
      <c r="L720" s="619">
        <v>107</v>
      </c>
      <c r="M720" s="620">
        <v>102</v>
      </c>
      <c r="N720" s="619"/>
      <c r="O720" s="619">
        <v>10</v>
      </c>
      <c r="P720" s="619" t="s">
        <v>760</v>
      </c>
      <c r="Q720" s="662"/>
      <c r="R720" s="618"/>
      <c r="S720" s="621" t="s">
        <v>1585</v>
      </c>
      <c r="T720" s="619" t="s">
        <v>1021</v>
      </c>
    </row>
    <row r="721" spans="1:20">
      <c r="A721" s="630">
        <v>4421490</v>
      </c>
      <c r="B721" s="628"/>
      <c r="C721" s="623"/>
      <c r="D721" s="623"/>
      <c r="E721" s="627" t="s">
        <v>1116</v>
      </c>
      <c r="F721" s="631" t="s">
        <v>1593</v>
      </c>
      <c r="G721" s="661">
        <v>442</v>
      </c>
      <c r="H721" s="633">
        <v>1490</v>
      </c>
      <c r="I721" s="618"/>
      <c r="J721" s="619" t="s">
        <v>1116</v>
      </c>
      <c r="K721" s="618"/>
      <c r="L721" s="619">
        <v>106</v>
      </c>
      <c r="M721" s="620">
        <v>101</v>
      </c>
      <c r="N721" s="619"/>
      <c r="O721" s="619">
        <v>10</v>
      </c>
      <c r="P721" s="619" t="s">
        <v>760</v>
      </c>
      <c r="Q721" s="662"/>
      <c r="R721" s="618"/>
      <c r="S721" s="621" t="s">
        <v>1585</v>
      </c>
      <c r="T721" s="619" t="s">
        <v>1023</v>
      </c>
    </row>
    <row r="722" spans="1:20">
      <c r="A722" s="630">
        <v>4001490</v>
      </c>
      <c r="B722" s="628"/>
      <c r="C722" s="623"/>
      <c r="D722" s="623"/>
      <c r="E722" s="627" t="s">
        <v>1118</v>
      </c>
      <c r="F722" s="631" t="s">
        <v>1594</v>
      </c>
      <c r="G722" s="661">
        <v>400</v>
      </c>
      <c r="H722" s="633">
        <v>1490</v>
      </c>
      <c r="I722" s="618"/>
      <c r="J722" s="619" t="s">
        <v>1118</v>
      </c>
      <c r="K722" s="618"/>
      <c r="L722" s="619">
        <v>108</v>
      </c>
      <c r="M722" s="620">
        <v>103</v>
      </c>
      <c r="N722" s="619"/>
      <c r="O722" s="619">
        <v>10</v>
      </c>
      <c r="P722" s="619" t="s">
        <v>760</v>
      </c>
      <c r="Q722" s="662"/>
      <c r="R722" s="618"/>
      <c r="S722" s="621" t="s">
        <v>1585</v>
      </c>
      <c r="T722" s="619" t="s">
        <v>1025</v>
      </c>
    </row>
    <row r="723" spans="1:20">
      <c r="A723" s="622"/>
      <c r="B723" s="628"/>
      <c r="C723" s="623"/>
      <c r="D723" s="623" t="s">
        <v>803</v>
      </c>
      <c r="E723" s="627" t="s">
        <v>252</v>
      </c>
      <c r="F723" s="626"/>
      <c r="G723" s="623"/>
      <c r="H723" s="627"/>
      <c r="I723" s="618"/>
      <c r="J723" s="618"/>
      <c r="K723" s="618"/>
      <c r="L723" s="618"/>
      <c r="M723" s="618"/>
      <c r="N723" s="618"/>
      <c r="O723" s="618"/>
      <c r="P723" s="618"/>
      <c r="Q723" s="662"/>
      <c r="R723" s="618"/>
      <c r="S723" s="621"/>
      <c r="T723" s="618"/>
    </row>
    <row r="724" spans="1:20">
      <c r="A724" s="622"/>
      <c r="B724" s="628"/>
      <c r="C724" s="623"/>
      <c r="D724" s="623"/>
      <c r="E724" s="627" t="s">
        <v>1595</v>
      </c>
      <c r="F724" s="626"/>
      <c r="G724" s="623"/>
      <c r="H724" s="627"/>
      <c r="I724" s="618"/>
      <c r="J724" s="618"/>
      <c r="K724" s="618"/>
      <c r="L724" s="618"/>
      <c r="M724" s="618"/>
      <c r="N724" s="618"/>
      <c r="O724" s="618"/>
      <c r="P724" s="618"/>
      <c r="Q724" s="662"/>
      <c r="R724" s="618"/>
      <c r="S724" s="621"/>
      <c r="T724" s="618"/>
    </row>
    <row r="725" spans="1:20">
      <c r="A725" s="630">
        <v>5611490</v>
      </c>
      <c r="B725" s="628"/>
      <c r="C725" s="623"/>
      <c r="D725" s="623"/>
      <c r="E725" s="627" t="s">
        <v>1121</v>
      </c>
      <c r="F725" s="631" t="s">
        <v>1596</v>
      </c>
      <c r="G725" s="661">
        <v>561</v>
      </c>
      <c r="H725" s="633">
        <v>1490</v>
      </c>
      <c r="I725" s="618"/>
      <c r="J725" s="619" t="s">
        <v>1121</v>
      </c>
      <c r="K725" s="618"/>
      <c r="L725" s="619">
        <v>119</v>
      </c>
      <c r="M725" s="620">
        <v>110</v>
      </c>
      <c r="N725" s="619"/>
      <c r="O725" s="619">
        <v>10</v>
      </c>
      <c r="P725" s="619" t="s">
        <v>760</v>
      </c>
      <c r="Q725" s="662"/>
      <c r="R725" s="618"/>
      <c r="S725" s="621" t="s">
        <v>1585</v>
      </c>
      <c r="T725" s="619" t="s">
        <v>1030</v>
      </c>
    </row>
    <row r="726" spans="1:20">
      <c r="A726" s="630">
        <v>5621490</v>
      </c>
      <c r="B726" s="628"/>
      <c r="C726" s="623"/>
      <c r="D726" s="623"/>
      <c r="E726" s="627" t="s">
        <v>1123</v>
      </c>
      <c r="F726" s="631" t="s">
        <v>1597</v>
      </c>
      <c r="G726" s="661">
        <v>562</v>
      </c>
      <c r="H726" s="633">
        <v>1490</v>
      </c>
      <c r="I726" s="618"/>
      <c r="J726" s="619" t="s">
        <v>1123</v>
      </c>
      <c r="K726" s="618"/>
      <c r="L726" s="619">
        <v>119</v>
      </c>
      <c r="M726" s="620">
        <v>110</v>
      </c>
      <c r="N726" s="619"/>
      <c r="O726" s="619">
        <v>10</v>
      </c>
      <c r="P726" s="619" t="s">
        <v>760</v>
      </c>
      <c r="Q726" s="662"/>
      <c r="R726" s="618"/>
      <c r="S726" s="621" t="s">
        <v>1585</v>
      </c>
      <c r="T726" s="619" t="s">
        <v>1033</v>
      </c>
    </row>
    <row r="727" spans="1:20">
      <c r="A727" s="630">
        <v>5631490</v>
      </c>
      <c r="B727" s="628"/>
      <c r="C727" s="623"/>
      <c r="D727" s="623"/>
      <c r="E727" s="627" t="s">
        <v>1125</v>
      </c>
      <c r="F727" s="631" t="s">
        <v>1598</v>
      </c>
      <c r="G727" s="661">
        <v>563</v>
      </c>
      <c r="H727" s="633">
        <v>1490</v>
      </c>
      <c r="I727" s="618"/>
      <c r="J727" s="619" t="s">
        <v>1125</v>
      </c>
      <c r="K727" s="618"/>
      <c r="L727" s="619">
        <v>119</v>
      </c>
      <c r="M727" s="620">
        <v>110</v>
      </c>
      <c r="N727" s="619"/>
      <c r="O727" s="619">
        <v>10</v>
      </c>
      <c r="P727" s="619" t="s">
        <v>760</v>
      </c>
      <c r="Q727" s="662"/>
      <c r="R727" s="618"/>
      <c r="S727" s="621" t="s">
        <v>1585</v>
      </c>
      <c r="T727" s="619" t="s">
        <v>1127</v>
      </c>
    </row>
    <row r="728" spans="1:20">
      <c r="A728" s="630">
        <v>5641490</v>
      </c>
      <c r="B728" s="628"/>
      <c r="C728" s="623"/>
      <c r="D728" s="623"/>
      <c r="E728" s="627" t="s">
        <v>1599</v>
      </c>
      <c r="F728" s="631" t="s">
        <v>1600</v>
      </c>
      <c r="G728" s="661">
        <v>564</v>
      </c>
      <c r="H728" s="633">
        <v>1490</v>
      </c>
      <c r="I728" s="618"/>
      <c r="J728" s="619" t="s">
        <v>1599</v>
      </c>
      <c r="K728" s="618"/>
      <c r="L728" s="619">
        <v>119</v>
      </c>
      <c r="M728" s="620">
        <v>110</v>
      </c>
      <c r="N728" s="619"/>
      <c r="O728" s="619">
        <v>10</v>
      </c>
      <c r="P728" s="619" t="s">
        <v>760</v>
      </c>
      <c r="Q728" s="662"/>
      <c r="R728" s="618"/>
      <c r="S728" s="621" t="s">
        <v>1585</v>
      </c>
      <c r="T728" s="619" t="s">
        <v>1601</v>
      </c>
    </row>
    <row r="729" spans="1:20">
      <c r="A729" s="630">
        <v>5651490</v>
      </c>
      <c r="B729" s="628"/>
      <c r="C729" s="623"/>
      <c r="D729" s="623"/>
      <c r="E729" s="627" t="s">
        <v>1602</v>
      </c>
      <c r="F729" s="631" t="s">
        <v>1603</v>
      </c>
      <c r="G729" s="661">
        <v>565</v>
      </c>
      <c r="H729" s="633">
        <v>1490</v>
      </c>
      <c r="I729" s="618"/>
      <c r="J729" s="619" t="s">
        <v>1602</v>
      </c>
      <c r="K729" s="618"/>
      <c r="L729" s="619">
        <v>119</v>
      </c>
      <c r="M729" s="620">
        <v>110</v>
      </c>
      <c r="N729" s="619"/>
      <c r="O729" s="619">
        <v>10</v>
      </c>
      <c r="P729" s="619" t="s">
        <v>760</v>
      </c>
      <c r="Q729" s="662"/>
      <c r="R729" s="618"/>
      <c r="S729" s="621" t="s">
        <v>1585</v>
      </c>
      <c r="T729" s="619" t="s">
        <v>1604</v>
      </c>
    </row>
    <row r="730" spans="1:20">
      <c r="A730" s="630">
        <v>5661490</v>
      </c>
      <c r="B730" s="628"/>
      <c r="C730" s="623"/>
      <c r="D730" s="623"/>
      <c r="E730" s="627" t="s">
        <v>1605</v>
      </c>
      <c r="F730" s="631" t="s">
        <v>1606</v>
      </c>
      <c r="G730" s="661">
        <v>566</v>
      </c>
      <c r="H730" s="633">
        <v>1490</v>
      </c>
      <c r="I730" s="618"/>
      <c r="J730" s="619" t="s">
        <v>1605</v>
      </c>
      <c r="K730" s="618"/>
      <c r="L730" s="619">
        <v>119</v>
      </c>
      <c r="M730" s="620">
        <v>110</v>
      </c>
      <c r="N730" s="619"/>
      <c r="O730" s="619">
        <v>10</v>
      </c>
      <c r="P730" s="619" t="s">
        <v>760</v>
      </c>
      <c r="Q730" s="662"/>
      <c r="R730" s="618"/>
      <c r="S730" s="621" t="s">
        <v>1585</v>
      </c>
      <c r="T730" s="619" t="s">
        <v>1130</v>
      </c>
    </row>
    <row r="731" spans="1:20">
      <c r="A731" s="630">
        <v>5671490</v>
      </c>
      <c r="B731" s="628"/>
      <c r="C731" s="623"/>
      <c r="D731" s="623"/>
      <c r="E731" s="627" t="s">
        <v>1607</v>
      </c>
      <c r="F731" s="631" t="s">
        <v>1608</v>
      </c>
      <c r="G731" s="661">
        <v>567</v>
      </c>
      <c r="H731" s="633">
        <v>1490</v>
      </c>
      <c r="I731" s="618"/>
      <c r="J731" s="619" t="s">
        <v>1607</v>
      </c>
      <c r="K731" s="618"/>
      <c r="L731" s="619">
        <v>119</v>
      </c>
      <c r="M731" s="620">
        <v>110</v>
      </c>
      <c r="N731" s="619"/>
      <c r="O731" s="619">
        <v>10</v>
      </c>
      <c r="P731" s="619" t="s">
        <v>760</v>
      </c>
      <c r="Q731" s="662"/>
      <c r="R731" s="618"/>
      <c r="S731" s="621" t="s">
        <v>1585</v>
      </c>
      <c r="T731" s="619" t="s">
        <v>1609</v>
      </c>
    </row>
    <row r="732" spans="1:20">
      <c r="A732" s="630">
        <v>5691490</v>
      </c>
      <c r="B732" s="628"/>
      <c r="C732" s="623"/>
      <c r="D732" s="623"/>
      <c r="E732" s="627" t="s">
        <v>1610</v>
      </c>
      <c r="F732" s="631" t="s">
        <v>1611</v>
      </c>
      <c r="G732" s="661">
        <v>569</v>
      </c>
      <c r="H732" s="633">
        <v>1490</v>
      </c>
      <c r="I732" s="618"/>
      <c r="J732" s="619" t="s">
        <v>1610</v>
      </c>
      <c r="K732" s="618"/>
      <c r="L732" s="619">
        <v>119</v>
      </c>
      <c r="M732" s="620">
        <v>110</v>
      </c>
      <c r="N732" s="619"/>
      <c r="O732" s="619">
        <v>10</v>
      </c>
      <c r="P732" s="619" t="s">
        <v>760</v>
      </c>
      <c r="Q732" s="662"/>
      <c r="R732" s="618"/>
      <c r="S732" s="621" t="s">
        <v>1585</v>
      </c>
      <c r="T732" s="619" t="s">
        <v>1612</v>
      </c>
    </row>
    <row r="733" spans="1:20">
      <c r="A733" s="630">
        <v>5821490</v>
      </c>
      <c r="B733" s="628"/>
      <c r="C733" s="623"/>
      <c r="D733" s="623"/>
      <c r="E733" s="627" t="s">
        <v>1134</v>
      </c>
      <c r="F733" s="631" t="s">
        <v>1613</v>
      </c>
      <c r="G733" s="661">
        <v>582</v>
      </c>
      <c r="H733" s="633">
        <v>1490</v>
      </c>
      <c r="I733" s="618"/>
      <c r="J733" s="619" t="s">
        <v>1134</v>
      </c>
      <c r="K733" s="618"/>
      <c r="L733" s="619">
        <v>118</v>
      </c>
      <c r="M733" s="620">
        <v>109</v>
      </c>
      <c r="N733" s="619"/>
      <c r="O733" s="619">
        <v>10</v>
      </c>
      <c r="P733" s="619" t="s">
        <v>760</v>
      </c>
      <c r="Q733" s="662"/>
      <c r="R733" s="618"/>
      <c r="S733" s="621" t="s">
        <v>1585</v>
      </c>
      <c r="T733" s="619" t="s">
        <v>1037</v>
      </c>
    </row>
    <row r="734" spans="1:20">
      <c r="A734" s="630">
        <v>5001490</v>
      </c>
      <c r="B734" s="628"/>
      <c r="C734" s="623"/>
      <c r="D734" s="623"/>
      <c r="E734" s="627" t="s">
        <v>1136</v>
      </c>
      <c r="F734" s="631" t="s">
        <v>1614</v>
      </c>
      <c r="G734" s="661">
        <v>500</v>
      </c>
      <c r="H734" s="633">
        <v>1490</v>
      </c>
      <c r="I734" s="618"/>
      <c r="J734" s="619" t="s">
        <v>1136</v>
      </c>
      <c r="K734" s="618"/>
      <c r="L734" s="619">
        <v>119</v>
      </c>
      <c r="M734" s="620">
        <v>110</v>
      </c>
      <c r="N734" s="619"/>
      <c r="O734" s="619">
        <v>10</v>
      </c>
      <c r="P734" s="619" t="s">
        <v>760</v>
      </c>
      <c r="Q734" s="662"/>
      <c r="R734" s="618"/>
      <c r="S734" s="621" t="s">
        <v>1585</v>
      </c>
      <c r="T734" s="619" t="s">
        <v>252</v>
      </c>
    </row>
    <row r="735" spans="1:20">
      <c r="A735" s="622"/>
      <c r="B735" s="628"/>
      <c r="C735" s="623"/>
      <c r="D735" s="623" t="s">
        <v>848</v>
      </c>
      <c r="E735" s="627" t="s">
        <v>1040</v>
      </c>
      <c r="F735" s="626"/>
      <c r="G735" s="623"/>
      <c r="H735" s="627"/>
      <c r="I735" s="618"/>
      <c r="J735" s="618"/>
      <c r="K735" s="618"/>
      <c r="L735" s="618"/>
      <c r="M735" s="618"/>
      <c r="N735" s="618"/>
      <c r="O735" s="618"/>
      <c r="P735" s="618"/>
      <c r="Q735" s="662"/>
      <c r="R735" s="618"/>
      <c r="S735" s="621"/>
      <c r="T735" s="618"/>
    </row>
    <row r="736" spans="1:20">
      <c r="A736" s="630">
        <v>6151490</v>
      </c>
      <c r="B736" s="628"/>
      <c r="C736" s="623"/>
      <c r="D736" s="623"/>
      <c r="E736" s="627" t="s">
        <v>1138</v>
      </c>
      <c r="F736" s="631" t="s">
        <v>1615</v>
      </c>
      <c r="G736" s="661">
        <v>615</v>
      </c>
      <c r="H736" s="633">
        <v>1490</v>
      </c>
      <c r="I736" s="618"/>
      <c r="J736" s="619" t="s">
        <v>1138</v>
      </c>
      <c r="K736" s="618"/>
      <c r="L736" s="619">
        <v>126</v>
      </c>
      <c r="M736" s="620">
        <v>117</v>
      </c>
      <c r="N736" s="619"/>
      <c r="O736" s="619">
        <v>10</v>
      </c>
      <c r="P736" s="619" t="s">
        <v>760</v>
      </c>
      <c r="Q736" s="662" t="s">
        <v>1043</v>
      </c>
      <c r="R736" s="618"/>
      <c r="S736" s="621" t="s">
        <v>1585</v>
      </c>
      <c r="T736" s="619" t="s">
        <v>1041</v>
      </c>
    </row>
    <row r="737" spans="1:20">
      <c r="A737" s="630">
        <v>6101490</v>
      </c>
      <c r="B737" s="628"/>
      <c r="C737" s="623"/>
      <c r="D737" s="623"/>
      <c r="E737" s="627" t="s">
        <v>1140</v>
      </c>
      <c r="F737" s="631" t="s">
        <v>1616</v>
      </c>
      <c r="G737" s="661">
        <v>610</v>
      </c>
      <c r="H737" s="633">
        <v>1490</v>
      </c>
      <c r="I737" s="618"/>
      <c r="J737" s="619" t="s">
        <v>1140</v>
      </c>
      <c r="K737" s="618"/>
      <c r="L737" s="619">
        <v>122</v>
      </c>
      <c r="M737" s="620">
        <v>113</v>
      </c>
      <c r="N737" s="619"/>
      <c r="O737" s="619">
        <v>10</v>
      </c>
      <c r="P737" s="619" t="s">
        <v>760</v>
      </c>
      <c r="Q737" s="662" t="s">
        <v>1043</v>
      </c>
      <c r="R737" s="618"/>
      <c r="S737" s="621" t="s">
        <v>1585</v>
      </c>
      <c r="T737" s="619" t="s">
        <v>39</v>
      </c>
    </row>
    <row r="738" spans="1:20">
      <c r="A738" s="630">
        <v>6421490</v>
      </c>
      <c r="B738" s="628"/>
      <c r="C738" s="623"/>
      <c r="D738" s="623"/>
      <c r="E738" s="627" t="s">
        <v>1142</v>
      </c>
      <c r="F738" s="631" t="s">
        <v>1617</v>
      </c>
      <c r="G738" s="661">
        <v>642</v>
      </c>
      <c r="H738" s="633">
        <v>1490</v>
      </c>
      <c r="I738" s="618"/>
      <c r="J738" s="619" t="s">
        <v>1142</v>
      </c>
      <c r="K738" s="618"/>
      <c r="L738" s="619">
        <v>125</v>
      </c>
      <c r="M738" s="620">
        <v>116</v>
      </c>
      <c r="N738" s="619"/>
      <c r="O738" s="619">
        <v>10</v>
      </c>
      <c r="P738" s="619" t="s">
        <v>760</v>
      </c>
      <c r="Q738" s="662" t="s">
        <v>1043</v>
      </c>
      <c r="R738" s="618"/>
      <c r="S738" s="621" t="s">
        <v>1585</v>
      </c>
      <c r="T738" s="619" t="s">
        <v>1046</v>
      </c>
    </row>
    <row r="739" spans="1:20">
      <c r="A739" s="630">
        <v>6001490</v>
      </c>
      <c r="B739" s="628"/>
      <c r="C739" s="623"/>
      <c r="D739" s="623"/>
      <c r="E739" s="627" t="s">
        <v>1144</v>
      </c>
      <c r="F739" s="631" t="s">
        <v>1618</v>
      </c>
      <c r="G739" s="661">
        <v>600</v>
      </c>
      <c r="H739" s="633">
        <v>1490</v>
      </c>
      <c r="I739" s="618"/>
      <c r="J739" s="619" t="s">
        <v>1144</v>
      </c>
      <c r="K739" s="618"/>
      <c r="L739" s="619">
        <v>126</v>
      </c>
      <c r="M739" s="620">
        <v>117</v>
      </c>
      <c r="N739" s="619"/>
      <c r="O739" s="619">
        <v>10</v>
      </c>
      <c r="P739" s="619" t="s">
        <v>760</v>
      </c>
      <c r="Q739" s="662"/>
      <c r="R739" s="618"/>
      <c r="S739" s="621" t="s">
        <v>1585</v>
      </c>
      <c r="T739" s="619" t="s">
        <v>1048</v>
      </c>
    </row>
    <row r="740" spans="1:20">
      <c r="A740" s="622"/>
      <c r="B740" s="628"/>
      <c r="C740" s="623"/>
      <c r="D740" s="623" t="s">
        <v>851</v>
      </c>
      <c r="E740" s="627" t="s">
        <v>1050</v>
      </c>
      <c r="F740" s="626"/>
      <c r="G740" s="623"/>
      <c r="H740" s="627"/>
      <c r="I740" s="618"/>
      <c r="J740" s="618"/>
      <c r="K740" s="618"/>
      <c r="L740" s="618"/>
      <c r="M740" s="618"/>
      <c r="N740" s="618"/>
      <c r="O740" s="618"/>
      <c r="P740" s="618"/>
      <c r="Q740" s="662"/>
      <c r="R740" s="618"/>
      <c r="S740" s="621"/>
      <c r="T740" s="618"/>
    </row>
    <row r="741" spans="1:20">
      <c r="A741" s="630">
        <v>7341490</v>
      </c>
      <c r="B741" s="628"/>
      <c r="C741" s="623"/>
      <c r="D741" s="623"/>
      <c r="E741" s="627" t="s">
        <v>1146</v>
      </c>
      <c r="F741" s="631" t="s">
        <v>1619</v>
      </c>
      <c r="G741" s="661">
        <v>734</v>
      </c>
      <c r="H741" s="633">
        <v>1490</v>
      </c>
      <c r="I741" s="618"/>
      <c r="J741" s="619" t="s">
        <v>1146</v>
      </c>
      <c r="K741" s="618"/>
      <c r="L741" s="619">
        <v>131</v>
      </c>
      <c r="M741" s="620">
        <v>122</v>
      </c>
      <c r="N741" s="619"/>
      <c r="O741" s="619">
        <v>10</v>
      </c>
      <c r="P741" s="619" t="s">
        <v>760</v>
      </c>
      <c r="Q741" s="662"/>
      <c r="R741" s="618"/>
      <c r="S741" s="621" t="s">
        <v>1585</v>
      </c>
      <c r="T741" s="619" t="s">
        <v>1051</v>
      </c>
    </row>
    <row r="742" spans="1:20">
      <c r="A742" s="630">
        <v>7351490</v>
      </c>
      <c r="B742" s="628"/>
      <c r="C742" s="623"/>
      <c r="D742" s="623"/>
      <c r="E742" s="627" t="s">
        <v>1148</v>
      </c>
      <c r="F742" s="631" t="s">
        <v>1620</v>
      </c>
      <c r="G742" s="661">
        <v>735</v>
      </c>
      <c r="H742" s="633">
        <v>1490</v>
      </c>
      <c r="I742" s="618"/>
      <c r="J742" s="619" t="s">
        <v>1148</v>
      </c>
      <c r="K742" s="618"/>
      <c r="L742" s="619">
        <v>131</v>
      </c>
      <c r="M742" s="620">
        <v>122</v>
      </c>
      <c r="N742" s="619"/>
      <c r="O742" s="619">
        <v>10</v>
      </c>
      <c r="P742" s="619" t="s">
        <v>760</v>
      </c>
      <c r="Q742" s="662"/>
      <c r="R742" s="618"/>
      <c r="S742" s="621" t="s">
        <v>1585</v>
      </c>
      <c r="T742" s="619" t="s">
        <v>1053</v>
      </c>
    </row>
    <row r="743" spans="1:20">
      <c r="A743" s="630">
        <v>7301490</v>
      </c>
      <c r="B743" s="628"/>
      <c r="C743" s="623"/>
      <c r="D743" s="623"/>
      <c r="E743" s="627" t="s">
        <v>1150</v>
      </c>
      <c r="F743" s="631" t="s">
        <v>1621</v>
      </c>
      <c r="G743" s="661">
        <v>730</v>
      </c>
      <c r="H743" s="633">
        <v>1490</v>
      </c>
      <c r="I743" s="618"/>
      <c r="J743" s="619" t="s">
        <v>1150</v>
      </c>
      <c r="K743" s="618"/>
      <c r="L743" s="619">
        <v>131</v>
      </c>
      <c r="M743" s="620">
        <v>122</v>
      </c>
      <c r="N743" s="619"/>
      <c r="O743" s="619">
        <v>10</v>
      </c>
      <c r="P743" s="619" t="s">
        <v>760</v>
      </c>
      <c r="Q743" s="662"/>
      <c r="R743" s="618"/>
      <c r="S743" s="621" t="s">
        <v>1585</v>
      </c>
      <c r="T743" s="619" t="s">
        <v>1055</v>
      </c>
    </row>
    <row r="744" spans="1:20">
      <c r="A744" s="630">
        <v>7001490</v>
      </c>
      <c r="B744" s="628"/>
      <c r="C744" s="623"/>
      <c r="D744" s="623"/>
      <c r="E744" s="627" t="s">
        <v>1152</v>
      </c>
      <c r="F744" s="631" t="s">
        <v>1622</v>
      </c>
      <c r="G744" s="661">
        <v>700</v>
      </c>
      <c r="H744" s="633">
        <v>1490</v>
      </c>
      <c r="I744" s="618"/>
      <c r="J744" s="619" t="s">
        <v>1152</v>
      </c>
      <c r="K744" s="618"/>
      <c r="L744" s="619">
        <v>132</v>
      </c>
      <c r="M744" s="620">
        <v>123</v>
      </c>
      <c r="N744" s="619"/>
      <c r="O744" s="619">
        <v>10</v>
      </c>
      <c r="P744" s="619" t="s">
        <v>760</v>
      </c>
      <c r="Q744" s="662"/>
      <c r="R744" s="618"/>
      <c r="S744" s="621" t="s">
        <v>1585</v>
      </c>
      <c r="T744" s="619" t="s">
        <v>1057</v>
      </c>
    </row>
    <row r="745" spans="1:20">
      <c r="A745" s="622"/>
      <c r="B745" s="628"/>
      <c r="C745" s="623"/>
      <c r="D745" s="623" t="s">
        <v>854</v>
      </c>
      <c r="E745" s="627" t="s">
        <v>256</v>
      </c>
      <c r="F745" s="626"/>
      <c r="G745" s="623"/>
      <c r="H745" s="627"/>
      <c r="I745" s="618"/>
      <c r="J745" s="618"/>
      <c r="K745" s="618"/>
      <c r="L745" s="618"/>
      <c r="M745" s="618"/>
      <c r="N745" s="618"/>
      <c r="O745" s="618"/>
      <c r="P745" s="618"/>
      <c r="Q745" s="662"/>
      <c r="R745" s="618"/>
      <c r="S745" s="621"/>
      <c r="T745" s="618"/>
    </row>
    <row r="746" spans="1:20">
      <c r="A746" s="630">
        <v>8951490</v>
      </c>
      <c r="B746" s="628"/>
      <c r="C746" s="623"/>
      <c r="D746" s="623"/>
      <c r="E746" s="627" t="s">
        <v>1154</v>
      </c>
      <c r="F746" s="631" t="s">
        <v>1623</v>
      </c>
      <c r="G746" s="661">
        <v>895</v>
      </c>
      <c r="H746" s="633">
        <v>1490</v>
      </c>
      <c r="I746" s="618"/>
      <c r="J746" s="619" t="s">
        <v>1154</v>
      </c>
      <c r="K746" s="618"/>
      <c r="L746" s="619">
        <v>139</v>
      </c>
      <c r="M746" s="620">
        <v>129</v>
      </c>
      <c r="N746" s="619"/>
      <c r="O746" s="619">
        <v>10</v>
      </c>
      <c r="P746" s="619" t="s">
        <v>760</v>
      </c>
      <c r="Q746" s="662"/>
      <c r="R746" s="618"/>
      <c r="S746" s="621" t="s">
        <v>1585</v>
      </c>
      <c r="T746" s="619" t="s">
        <v>1059</v>
      </c>
    </row>
    <row r="747" spans="1:20">
      <c r="A747" s="630">
        <v>8001490</v>
      </c>
      <c r="B747" s="670"/>
      <c r="C747" s="632"/>
      <c r="D747" s="632"/>
      <c r="E747" s="637" t="s">
        <v>1156</v>
      </c>
      <c r="F747" s="631" t="s">
        <v>1624</v>
      </c>
      <c r="G747" s="661">
        <v>800</v>
      </c>
      <c r="H747" s="633">
        <v>1490</v>
      </c>
      <c r="I747" s="618"/>
      <c r="J747" s="619" t="s">
        <v>1156</v>
      </c>
      <c r="K747" s="618"/>
      <c r="L747" s="619">
        <v>139</v>
      </c>
      <c r="M747" s="620">
        <v>129</v>
      </c>
      <c r="N747" s="619"/>
      <c r="O747" s="619">
        <v>10</v>
      </c>
      <c r="P747" s="619" t="s">
        <v>760</v>
      </c>
      <c r="Q747" s="662"/>
      <c r="R747" s="618"/>
      <c r="S747" s="621" t="s">
        <v>1585</v>
      </c>
      <c r="T747" s="619" t="s">
        <v>1061</v>
      </c>
    </row>
    <row r="748" spans="1:20">
      <c r="A748" s="622"/>
      <c r="B748" s="628"/>
      <c r="C748" s="623"/>
      <c r="D748" s="623" t="s">
        <v>857</v>
      </c>
      <c r="E748" s="627" t="s">
        <v>1063</v>
      </c>
      <c r="F748" s="626"/>
      <c r="G748" s="623"/>
      <c r="H748" s="627"/>
      <c r="I748" s="618"/>
      <c r="J748" s="618"/>
      <c r="K748" s="618"/>
      <c r="L748" s="618"/>
      <c r="M748" s="618"/>
      <c r="N748" s="618"/>
      <c r="O748" s="618"/>
      <c r="P748" s="618"/>
      <c r="Q748" s="662"/>
      <c r="R748" s="618"/>
      <c r="S748" s="621"/>
      <c r="T748" s="618"/>
    </row>
    <row r="749" spans="1:20">
      <c r="A749" s="630">
        <v>2101490</v>
      </c>
      <c r="B749" s="628"/>
      <c r="C749" s="623"/>
      <c r="D749" s="623"/>
      <c r="E749" s="627" t="s">
        <v>1158</v>
      </c>
      <c r="F749" s="631" t="s">
        <v>1625</v>
      </c>
      <c r="G749" s="661">
        <v>210</v>
      </c>
      <c r="H749" s="633">
        <v>1490</v>
      </c>
      <c r="I749" s="618"/>
      <c r="J749" s="619" t="s">
        <v>1158</v>
      </c>
      <c r="K749" s="618"/>
      <c r="L749" s="619">
        <v>89</v>
      </c>
      <c r="M749" s="620">
        <v>84</v>
      </c>
      <c r="N749" s="619"/>
      <c r="O749" s="619">
        <v>10</v>
      </c>
      <c r="P749" s="619" t="s">
        <v>760</v>
      </c>
      <c r="Q749" s="662" t="s">
        <v>1002</v>
      </c>
      <c r="R749" s="618"/>
      <c r="S749" s="621" t="s">
        <v>1585</v>
      </c>
      <c r="T749" s="619" t="s">
        <v>1064</v>
      </c>
    </row>
    <row r="750" spans="1:20">
      <c r="A750" s="630">
        <v>2201490</v>
      </c>
      <c r="B750" s="628"/>
      <c r="C750" s="623"/>
      <c r="D750" s="623"/>
      <c r="E750" s="627" t="s">
        <v>1160</v>
      </c>
      <c r="F750" s="631" t="s">
        <v>1626</v>
      </c>
      <c r="G750" s="661">
        <v>220</v>
      </c>
      <c r="H750" s="633">
        <v>1490</v>
      </c>
      <c r="I750" s="618"/>
      <c r="J750" s="619" t="s">
        <v>1160</v>
      </c>
      <c r="K750" s="618"/>
      <c r="L750" s="619">
        <v>90</v>
      </c>
      <c r="M750" s="620">
        <v>85</v>
      </c>
      <c r="N750" s="619"/>
      <c r="O750" s="619">
        <v>10</v>
      </c>
      <c r="P750" s="619" t="s">
        <v>760</v>
      </c>
      <c r="Q750" s="662" t="s">
        <v>1002</v>
      </c>
      <c r="R750" s="618"/>
      <c r="S750" s="621" t="s">
        <v>1585</v>
      </c>
      <c r="T750" s="619" t="s">
        <v>1066</v>
      </c>
    </row>
    <row r="751" spans="1:20">
      <c r="A751" s="630">
        <v>2251490</v>
      </c>
      <c r="B751" s="628"/>
      <c r="C751" s="623"/>
      <c r="D751" s="623"/>
      <c r="E751" s="627" t="s">
        <v>1162</v>
      </c>
      <c r="F751" s="631" t="s">
        <v>1627</v>
      </c>
      <c r="G751" s="661">
        <v>225</v>
      </c>
      <c r="H751" s="633">
        <v>1490</v>
      </c>
      <c r="I751" s="618"/>
      <c r="J751" s="619" t="s">
        <v>1162</v>
      </c>
      <c r="K751" s="618"/>
      <c r="L751" s="619">
        <v>91</v>
      </c>
      <c r="M751" s="620">
        <v>86</v>
      </c>
      <c r="N751" s="619"/>
      <c r="O751" s="619">
        <v>10</v>
      </c>
      <c r="P751" s="619" t="s">
        <v>760</v>
      </c>
      <c r="Q751" s="662" t="s">
        <v>1002</v>
      </c>
      <c r="R751" s="618"/>
      <c r="S751" s="621" t="s">
        <v>1585</v>
      </c>
      <c r="T751" s="619" t="s">
        <v>23</v>
      </c>
    </row>
    <row r="752" spans="1:20">
      <c r="A752" s="622"/>
      <c r="B752" s="628"/>
      <c r="C752" s="623"/>
      <c r="D752" s="623"/>
      <c r="E752" s="627" t="s">
        <v>1164</v>
      </c>
      <c r="F752" s="626"/>
      <c r="G752" s="623"/>
      <c r="H752" s="627"/>
      <c r="I752" s="618"/>
      <c r="J752" s="618"/>
      <c r="K752" s="618"/>
      <c r="L752" s="618"/>
      <c r="M752" s="618"/>
      <c r="N752" s="618"/>
      <c r="O752" s="618"/>
      <c r="P752" s="618"/>
      <c r="Q752" s="662"/>
      <c r="R752" s="618"/>
      <c r="S752" s="621"/>
      <c r="T752" s="618"/>
    </row>
    <row r="753" spans="1:20">
      <c r="A753" s="630">
        <v>2311490</v>
      </c>
      <c r="B753" s="628"/>
      <c r="C753" s="623"/>
      <c r="D753" s="623"/>
      <c r="E753" s="627" t="s">
        <v>1165</v>
      </c>
      <c r="F753" s="631" t="s">
        <v>1628</v>
      </c>
      <c r="G753" s="661">
        <v>231</v>
      </c>
      <c r="H753" s="633">
        <v>1490</v>
      </c>
      <c r="I753" s="618"/>
      <c r="J753" s="619" t="s">
        <v>1165</v>
      </c>
      <c r="K753" s="618"/>
      <c r="L753" s="619">
        <v>92</v>
      </c>
      <c r="M753" s="620">
        <v>87</v>
      </c>
      <c r="N753" s="619"/>
      <c r="O753" s="619">
        <v>10</v>
      </c>
      <c r="P753" s="619" t="s">
        <v>760</v>
      </c>
      <c r="Q753" s="662" t="s">
        <v>1002</v>
      </c>
      <c r="R753" s="618"/>
      <c r="S753" s="621" t="s">
        <v>1585</v>
      </c>
      <c r="T753" s="619" t="s">
        <v>1072</v>
      </c>
    </row>
    <row r="754" spans="1:20">
      <c r="A754" s="630">
        <v>2331490</v>
      </c>
      <c r="B754" s="628"/>
      <c r="C754" s="623"/>
      <c r="D754" s="623"/>
      <c r="E754" s="627" t="s">
        <v>1167</v>
      </c>
      <c r="F754" s="631" t="s">
        <v>1629</v>
      </c>
      <c r="G754" s="661">
        <v>233</v>
      </c>
      <c r="H754" s="633">
        <v>1490</v>
      </c>
      <c r="I754" s="618"/>
      <c r="J754" s="619" t="s">
        <v>1167</v>
      </c>
      <c r="K754" s="618"/>
      <c r="L754" s="619">
        <v>92</v>
      </c>
      <c r="M754" s="620">
        <v>87</v>
      </c>
      <c r="N754" s="619"/>
      <c r="O754" s="619">
        <v>10</v>
      </c>
      <c r="P754" s="619" t="s">
        <v>760</v>
      </c>
      <c r="Q754" s="662" t="s">
        <v>1002</v>
      </c>
      <c r="R754" s="618"/>
      <c r="S754" s="621" t="s">
        <v>1585</v>
      </c>
      <c r="T754" s="619" t="s">
        <v>1169</v>
      </c>
    </row>
    <row r="755" spans="1:20">
      <c r="A755" s="630">
        <v>2391490</v>
      </c>
      <c r="B755" s="628"/>
      <c r="C755" s="623"/>
      <c r="D755" s="623"/>
      <c r="E755" s="627" t="s">
        <v>1170</v>
      </c>
      <c r="F755" s="631" t="s">
        <v>1630</v>
      </c>
      <c r="G755" s="661">
        <v>239</v>
      </c>
      <c r="H755" s="633">
        <v>1490</v>
      </c>
      <c r="I755" s="618"/>
      <c r="J755" s="619" t="s">
        <v>1170</v>
      </c>
      <c r="K755" s="618"/>
      <c r="L755" s="619">
        <v>92</v>
      </c>
      <c r="M755" s="620">
        <v>87</v>
      </c>
      <c r="N755" s="619"/>
      <c r="O755" s="619">
        <v>10</v>
      </c>
      <c r="P755" s="619" t="s">
        <v>760</v>
      </c>
      <c r="Q755" s="662" t="s">
        <v>1002</v>
      </c>
      <c r="R755" s="618"/>
      <c r="S755" s="621" t="s">
        <v>1585</v>
      </c>
      <c r="T755" s="619" t="s">
        <v>1078</v>
      </c>
    </row>
    <row r="756" spans="1:20">
      <c r="A756" s="630">
        <v>2501490</v>
      </c>
      <c r="B756" s="628"/>
      <c r="C756" s="623"/>
      <c r="D756" s="623"/>
      <c r="E756" s="627" t="s">
        <v>1172</v>
      </c>
      <c r="F756" s="631" t="s">
        <v>1631</v>
      </c>
      <c r="G756" s="661">
        <v>250</v>
      </c>
      <c r="H756" s="633">
        <v>1490</v>
      </c>
      <c r="I756" s="618"/>
      <c r="J756" s="619" t="s">
        <v>1172</v>
      </c>
      <c r="K756" s="618"/>
      <c r="L756" s="619">
        <v>93</v>
      </c>
      <c r="M756" s="620">
        <v>88</v>
      </c>
      <c r="N756" s="619"/>
      <c r="O756" s="619">
        <v>10</v>
      </c>
      <c r="P756" s="619" t="s">
        <v>760</v>
      </c>
      <c r="Q756" s="662" t="s">
        <v>1002</v>
      </c>
      <c r="R756" s="618"/>
      <c r="S756" s="621" t="s">
        <v>1585</v>
      </c>
      <c r="T756" s="619" t="s">
        <v>1079</v>
      </c>
    </row>
    <row r="757" spans="1:20">
      <c r="A757" s="630">
        <v>2601490</v>
      </c>
      <c r="B757" s="628"/>
      <c r="C757" s="623"/>
      <c r="D757" s="623"/>
      <c r="E757" s="627" t="s">
        <v>1174</v>
      </c>
      <c r="F757" s="631" t="s">
        <v>1632</v>
      </c>
      <c r="G757" s="661">
        <v>260</v>
      </c>
      <c r="H757" s="633">
        <v>1490</v>
      </c>
      <c r="I757" s="618"/>
      <c r="J757" s="619" t="s">
        <v>1174</v>
      </c>
      <c r="K757" s="618"/>
      <c r="L757" s="619">
        <v>95</v>
      </c>
      <c r="M757" s="620">
        <v>90</v>
      </c>
      <c r="N757" s="619"/>
      <c r="O757" s="619">
        <v>10</v>
      </c>
      <c r="P757" s="619" t="s">
        <v>760</v>
      </c>
      <c r="Q757" s="662" t="s">
        <v>1002</v>
      </c>
      <c r="R757" s="618"/>
      <c r="S757" s="621" t="s">
        <v>1585</v>
      </c>
      <c r="T757" s="619" t="s">
        <v>1081</v>
      </c>
    </row>
    <row r="758" spans="1:20">
      <c r="A758" s="630">
        <v>2701490</v>
      </c>
      <c r="B758" s="628"/>
      <c r="C758" s="623"/>
      <c r="D758" s="623"/>
      <c r="E758" s="627" t="s">
        <v>1176</v>
      </c>
      <c r="F758" s="631" t="s">
        <v>1633</v>
      </c>
      <c r="G758" s="661">
        <v>270</v>
      </c>
      <c r="H758" s="633">
        <v>1490</v>
      </c>
      <c r="I758" s="618"/>
      <c r="J758" s="619" t="s">
        <v>1176</v>
      </c>
      <c r="K758" s="618"/>
      <c r="L758" s="619">
        <v>94</v>
      </c>
      <c r="M758" s="620">
        <v>89</v>
      </c>
      <c r="N758" s="619"/>
      <c r="O758" s="619">
        <v>10</v>
      </c>
      <c r="P758" s="619" t="s">
        <v>760</v>
      </c>
      <c r="Q758" s="662" t="s">
        <v>1002</v>
      </c>
      <c r="R758" s="618"/>
      <c r="S758" s="621" t="s">
        <v>1585</v>
      </c>
      <c r="T758" s="619" t="s">
        <v>1083</v>
      </c>
    </row>
    <row r="759" spans="1:20">
      <c r="A759" s="630">
        <v>2811490</v>
      </c>
      <c r="B759" s="628"/>
      <c r="C759" s="623"/>
      <c r="D759" s="623"/>
      <c r="E759" s="627" t="s">
        <v>1178</v>
      </c>
      <c r="F759" s="631" t="s">
        <v>1634</v>
      </c>
      <c r="G759" s="661">
        <v>281</v>
      </c>
      <c r="H759" s="633">
        <v>1490</v>
      </c>
      <c r="I759" s="618"/>
      <c r="J759" s="619" t="s">
        <v>1178</v>
      </c>
      <c r="K759" s="618"/>
      <c r="L759" s="619">
        <v>95</v>
      </c>
      <c r="M759" s="620">
        <v>90</v>
      </c>
      <c r="N759" s="619"/>
      <c r="O759" s="619">
        <v>10</v>
      </c>
      <c r="P759" s="619" t="s">
        <v>760</v>
      </c>
      <c r="Q759" s="662" t="s">
        <v>1002</v>
      </c>
      <c r="R759" s="618"/>
      <c r="S759" s="621" t="s">
        <v>1585</v>
      </c>
      <c r="T759" s="619" t="s">
        <v>1085</v>
      </c>
    </row>
    <row r="760" spans="1:20">
      <c r="A760" s="630">
        <v>2821490</v>
      </c>
      <c r="B760" s="628"/>
      <c r="C760" s="623"/>
      <c r="D760" s="623"/>
      <c r="E760" s="627" t="s">
        <v>1180</v>
      </c>
      <c r="F760" s="631" t="s">
        <v>1635</v>
      </c>
      <c r="G760" s="661">
        <v>282</v>
      </c>
      <c r="H760" s="633">
        <v>1490</v>
      </c>
      <c r="I760" s="618"/>
      <c r="J760" s="619" t="s">
        <v>1180</v>
      </c>
      <c r="K760" s="618"/>
      <c r="L760" s="619">
        <v>95</v>
      </c>
      <c r="M760" s="620">
        <v>90</v>
      </c>
      <c r="N760" s="619"/>
      <c r="O760" s="619">
        <v>10</v>
      </c>
      <c r="P760" s="619" t="s">
        <v>760</v>
      </c>
      <c r="Q760" s="662" t="s">
        <v>1002</v>
      </c>
      <c r="R760" s="618"/>
      <c r="S760" s="621" t="s">
        <v>1585</v>
      </c>
      <c r="T760" s="619" t="s">
        <v>1087</v>
      </c>
    </row>
    <row r="761" spans="1:20" ht="16" thickBot="1">
      <c r="A761" s="630">
        <v>2901490</v>
      </c>
      <c r="B761" s="667"/>
      <c r="C761" s="623"/>
      <c r="D761" s="623"/>
      <c r="E761" s="627" t="s">
        <v>1182</v>
      </c>
      <c r="F761" s="631" t="s">
        <v>1636</v>
      </c>
      <c r="G761" s="661">
        <v>290</v>
      </c>
      <c r="H761" s="633">
        <v>1490</v>
      </c>
      <c r="I761" s="618"/>
      <c r="J761" s="619" t="s">
        <v>1182</v>
      </c>
      <c r="K761" s="618"/>
      <c r="L761" s="619">
        <v>95</v>
      </c>
      <c r="M761" s="620">
        <v>90</v>
      </c>
      <c r="N761" s="619"/>
      <c r="O761" s="619">
        <v>10</v>
      </c>
      <c r="P761" s="619" t="s">
        <v>760</v>
      </c>
      <c r="Q761" s="662" t="s">
        <v>1002</v>
      </c>
      <c r="R761" s="618"/>
      <c r="S761" s="621" t="s">
        <v>1585</v>
      </c>
      <c r="T761" s="619" t="s">
        <v>1090</v>
      </c>
    </row>
    <row r="762" spans="1:20" ht="16.5" thickTop="1" thickBot="1">
      <c r="A762" s="622"/>
      <c r="B762" s="613"/>
      <c r="C762" s="772" t="s">
        <v>1637</v>
      </c>
      <c r="D762" s="773"/>
      <c r="E762" s="782"/>
      <c r="F762" s="656" t="s">
        <v>606</v>
      </c>
      <c r="G762" s="657"/>
      <c r="H762" s="658"/>
      <c r="I762" s="618"/>
      <c r="J762" s="618"/>
      <c r="K762" s="618"/>
      <c r="L762" s="618"/>
      <c r="M762" s="618"/>
      <c r="N762" s="618"/>
      <c r="O762" s="618"/>
      <c r="P762" s="618"/>
      <c r="Q762" s="662"/>
      <c r="R762" s="618"/>
      <c r="S762" s="621"/>
      <c r="T762" s="618"/>
    </row>
    <row r="763" spans="1:20" ht="16" thickTop="1">
      <c r="A763" s="622"/>
      <c r="B763" s="623"/>
      <c r="C763" s="623"/>
      <c r="D763" s="623"/>
      <c r="E763" s="627"/>
      <c r="F763" s="626"/>
      <c r="G763" s="623"/>
      <c r="H763" s="627"/>
      <c r="I763" s="618"/>
      <c r="J763" s="618"/>
      <c r="K763" s="618"/>
      <c r="L763" s="618"/>
      <c r="M763" s="618"/>
      <c r="N763" s="618"/>
      <c r="O763" s="618"/>
      <c r="P763" s="618"/>
      <c r="Q763" s="662"/>
      <c r="R763" s="618"/>
      <c r="S763" s="621"/>
      <c r="T763" s="618"/>
    </row>
    <row r="764" spans="1:20">
      <c r="A764" s="622"/>
      <c r="B764" s="628" t="s">
        <v>1638</v>
      </c>
      <c r="C764" s="770" t="s">
        <v>669</v>
      </c>
      <c r="D764" s="771"/>
      <c r="E764" s="775"/>
      <c r="F764" s="626"/>
      <c r="G764" s="623"/>
      <c r="H764" s="627"/>
      <c r="I764" s="618"/>
      <c r="J764" s="618"/>
      <c r="K764" s="618"/>
      <c r="L764" s="618"/>
      <c r="M764" s="618"/>
      <c r="N764" s="618"/>
      <c r="O764" s="618"/>
      <c r="P764" s="618"/>
      <c r="Q764" s="662"/>
      <c r="R764" s="618"/>
      <c r="S764" s="621"/>
      <c r="T764" s="618"/>
    </row>
    <row r="765" spans="1:20">
      <c r="A765" s="622"/>
      <c r="B765" s="628"/>
      <c r="C765" s="629">
        <v>27</v>
      </c>
      <c r="D765" s="774" t="s">
        <v>1639</v>
      </c>
      <c r="E765" s="775"/>
      <c r="F765" s="626"/>
      <c r="G765" s="623"/>
      <c r="H765" s="627"/>
      <c r="I765" s="618"/>
      <c r="J765" s="618"/>
      <c r="K765" s="618"/>
      <c r="L765" s="618"/>
      <c r="M765" s="618"/>
      <c r="N765" s="618"/>
      <c r="O765" s="618"/>
      <c r="P765" s="618"/>
      <c r="Q765" s="662"/>
      <c r="R765" s="618"/>
      <c r="S765" s="621"/>
      <c r="T765" s="618"/>
    </row>
    <row r="766" spans="1:20">
      <c r="A766" s="622"/>
      <c r="B766" s="628"/>
      <c r="C766" s="623"/>
      <c r="D766" s="623" t="s">
        <v>756</v>
      </c>
      <c r="E766" s="627" t="s">
        <v>244</v>
      </c>
      <c r="F766" s="626"/>
      <c r="G766" s="623"/>
      <c r="H766" s="627"/>
      <c r="I766" s="618"/>
      <c r="J766" s="618"/>
      <c r="K766" s="618"/>
      <c r="L766" s="618"/>
      <c r="M766" s="618"/>
      <c r="N766" s="618"/>
      <c r="O766" s="618"/>
      <c r="P766" s="618"/>
      <c r="Q766" s="662"/>
      <c r="R766" s="618"/>
      <c r="S766" s="621"/>
      <c r="T766" s="618"/>
    </row>
    <row r="767" spans="1:20">
      <c r="A767" s="630">
        <v>1121510</v>
      </c>
      <c r="B767" s="628"/>
      <c r="C767" s="623"/>
      <c r="D767" s="623"/>
      <c r="E767" s="627" t="s">
        <v>1096</v>
      </c>
      <c r="F767" s="631" t="s">
        <v>1640</v>
      </c>
      <c r="G767" s="661">
        <v>112</v>
      </c>
      <c r="H767" s="633">
        <v>1510</v>
      </c>
      <c r="I767" s="618"/>
      <c r="J767" s="619" t="s">
        <v>1096</v>
      </c>
      <c r="K767" s="618"/>
      <c r="L767" s="619">
        <v>82</v>
      </c>
      <c r="M767" s="620">
        <v>77</v>
      </c>
      <c r="N767" s="619"/>
      <c r="O767" s="619">
        <v>11</v>
      </c>
      <c r="P767" s="619" t="s">
        <v>760</v>
      </c>
      <c r="Q767" s="662" t="s">
        <v>1002</v>
      </c>
      <c r="R767" s="618"/>
      <c r="S767" s="621" t="s">
        <v>1641</v>
      </c>
      <c r="T767" s="619" t="s">
        <v>5</v>
      </c>
    </row>
    <row r="768" spans="1:20">
      <c r="A768" s="630">
        <v>1151510</v>
      </c>
      <c r="B768" s="628"/>
      <c r="C768" s="623"/>
      <c r="D768" s="623"/>
      <c r="E768" s="627" t="s">
        <v>1099</v>
      </c>
      <c r="F768" s="631" t="s">
        <v>1642</v>
      </c>
      <c r="G768" s="661">
        <v>115</v>
      </c>
      <c r="H768" s="633">
        <v>1510</v>
      </c>
      <c r="I768" s="618"/>
      <c r="J768" s="619" t="s">
        <v>1099</v>
      </c>
      <c r="K768" s="618"/>
      <c r="L768" s="619">
        <v>86</v>
      </c>
      <c r="M768" s="620">
        <v>81</v>
      </c>
      <c r="N768" s="619"/>
      <c r="O768" s="619">
        <v>11</v>
      </c>
      <c r="P768" s="619" t="s">
        <v>760</v>
      </c>
      <c r="Q768" s="662" t="s">
        <v>1002</v>
      </c>
      <c r="R768" s="618"/>
      <c r="S768" s="621" t="s">
        <v>1641</v>
      </c>
      <c r="T768" s="619" t="s">
        <v>1101</v>
      </c>
    </row>
    <row r="769" spans="1:20">
      <c r="A769" s="630">
        <v>1231510</v>
      </c>
      <c r="B769" s="628"/>
      <c r="C769" s="623"/>
      <c r="D769" s="623"/>
      <c r="E769" s="627" t="s">
        <v>1102</v>
      </c>
      <c r="F769" s="631" t="s">
        <v>1643</v>
      </c>
      <c r="G769" s="661">
        <v>123</v>
      </c>
      <c r="H769" s="633">
        <v>1510</v>
      </c>
      <c r="I769" s="618"/>
      <c r="J769" s="619" t="s">
        <v>1102</v>
      </c>
      <c r="K769" s="618"/>
      <c r="L769" s="619">
        <v>86</v>
      </c>
      <c r="M769" s="620">
        <v>81</v>
      </c>
      <c r="N769" s="619"/>
      <c r="O769" s="619">
        <v>11</v>
      </c>
      <c r="P769" s="619" t="s">
        <v>760</v>
      </c>
      <c r="Q769" s="662" t="s">
        <v>1002</v>
      </c>
      <c r="R769" s="618"/>
      <c r="S769" s="621" t="s">
        <v>1641</v>
      </c>
      <c r="T769" s="619" t="s">
        <v>1104</v>
      </c>
    </row>
    <row r="770" spans="1:20">
      <c r="A770" s="630">
        <v>1201510</v>
      </c>
      <c r="B770" s="628"/>
      <c r="C770" s="623"/>
      <c r="D770" s="623"/>
      <c r="E770" s="627" t="s">
        <v>1105</v>
      </c>
      <c r="F770" s="631" t="s">
        <v>1644</v>
      </c>
      <c r="G770" s="661">
        <v>120</v>
      </c>
      <c r="H770" s="633">
        <v>1510</v>
      </c>
      <c r="I770" s="618"/>
      <c r="J770" s="619" t="s">
        <v>1105</v>
      </c>
      <c r="K770" s="618"/>
      <c r="L770" s="619">
        <v>86</v>
      </c>
      <c r="M770" s="620">
        <v>81</v>
      </c>
      <c r="N770" s="619"/>
      <c r="O770" s="619">
        <v>11</v>
      </c>
      <c r="P770" s="619" t="s">
        <v>760</v>
      </c>
      <c r="Q770" s="662" t="s">
        <v>1002</v>
      </c>
      <c r="R770" s="618"/>
      <c r="S770" s="621" t="s">
        <v>1641</v>
      </c>
      <c r="T770" s="619" t="s">
        <v>1107</v>
      </c>
    </row>
    <row r="771" spans="1:20">
      <c r="A771" s="630">
        <v>1001510</v>
      </c>
      <c r="B771" s="628"/>
      <c r="C771" s="623"/>
      <c r="D771" s="623"/>
      <c r="E771" s="627" t="s">
        <v>1108</v>
      </c>
      <c r="F771" s="631" t="s">
        <v>1645</v>
      </c>
      <c r="G771" s="661">
        <v>100</v>
      </c>
      <c r="H771" s="633">
        <v>1510</v>
      </c>
      <c r="I771" s="618"/>
      <c r="J771" s="619" t="s">
        <v>1108</v>
      </c>
      <c r="K771" s="618"/>
      <c r="L771" s="619">
        <v>86</v>
      </c>
      <c r="M771" s="620">
        <v>81</v>
      </c>
      <c r="N771" s="619"/>
      <c r="O771" s="619">
        <v>11</v>
      </c>
      <c r="P771" s="619" t="s">
        <v>760</v>
      </c>
      <c r="Q771" s="662" t="s">
        <v>1002</v>
      </c>
      <c r="R771" s="618"/>
      <c r="S771" s="621" t="s">
        <v>1641</v>
      </c>
      <c r="T771" s="619" t="s">
        <v>1015</v>
      </c>
    </row>
    <row r="772" spans="1:20">
      <c r="A772" s="630">
        <v>1401510</v>
      </c>
      <c r="B772" s="628"/>
      <c r="C772" s="623"/>
      <c r="D772" s="623"/>
      <c r="E772" s="627" t="s">
        <v>1110</v>
      </c>
      <c r="F772" s="631" t="s">
        <v>1646</v>
      </c>
      <c r="G772" s="661">
        <v>140</v>
      </c>
      <c r="H772" s="633">
        <v>1510</v>
      </c>
      <c r="I772" s="618"/>
      <c r="J772" s="619" t="s">
        <v>1110</v>
      </c>
      <c r="K772" s="618"/>
      <c r="L772" s="619">
        <v>86</v>
      </c>
      <c r="M772" s="620">
        <v>81</v>
      </c>
      <c r="N772" s="619"/>
      <c r="O772" s="619">
        <v>11</v>
      </c>
      <c r="P772" s="619" t="s">
        <v>760</v>
      </c>
      <c r="Q772" s="662" t="s">
        <v>1002</v>
      </c>
      <c r="R772" s="618"/>
      <c r="S772" s="621" t="s">
        <v>1641</v>
      </c>
      <c r="T772" s="619" t="s">
        <v>1017</v>
      </c>
    </row>
    <row r="773" spans="1:20">
      <c r="A773" s="630">
        <v>3001510</v>
      </c>
      <c r="B773" s="628"/>
      <c r="C773" s="623"/>
      <c r="D773" s="623" t="s">
        <v>775</v>
      </c>
      <c r="E773" s="627" t="s">
        <v>1112</v>
      </c>
      <c r="F773" s="631" t="s">
        <v>1647</v>
      </c>
      <c r="G773" s="661">
        <v>300</v>
      </c>
      <c r="H773" s="633">
        <v>1510</v>
      </c>
      <c r="I773" s="618"/>
      <c r="J773" s="619" t="s">
        <v>1112</v>
      </c>
      <c r="K773" s="618"/>
      <c r="L773" s="619">
        <v>101</v>
      </c>
      <c r="M773" s="620">
        <v>96</v>
      </c>
      <c r="N773" s="619"/>
      <c r="O773" s="619">
        <v>11</v>
      </c>
      <c r="P773" s="619" t="s">
        <v>760</v>
      </c>
      <c r="Q773" s="662"/>
      <c r="R773" s="618"/>
      <c r="S773" s="621" t="s">
        <v>1641</v>
      </c>
      <c r="T773" s="619" t="s">
        <v>1112</v>
      </c>
    </row>
    <row r="774" spans="1:20">
      <c r="A774" s="622"/>
      <c r="B774" s="628"/>
      <c r="C774" s="623"/>
      <c r="D774" s="623" t="s">
        <v>799</v>
      </c>
      <c r="E774" s="627" t="s">
        <v>250</v>
      </c>
      <c r="F774" s="626"/>
      <c r="G774" s="623"/>
      <c r="H774" s="627"/>
      <c r="I774" s="618"/>
      <c r="J774" s="618"/>
      <c r="K774" s="618"/>
      <c r="L774" s="618"/>
      <c r="M774" s="618"/>
      <c r="N774" s="618"/>
      <c r="O774" s="618"/>
      <c r="P774" s="618"/>
      <c r="Q774" s="662"/>
      <c r="R774" s="618"/>
      <c r="S774" s="621"/>
      <c r="T774" s="618"/>
    </row>
    <row r="775" spans="1:20">
      <c r="A775" s="630">
        <v>4301510</v>
      </c>
      <c r="B775" s="628"/>
      <c r="C775" s="623"/>
      <c r="D775" s="623"/>
      <c r="E775" s="627" t="s">
        <v>1114</v>
      </c>
      <c r="F775" s="631" t="s">
        <v>1648</v>
      </c>
      <c r="G775" s="661">
        <v>430</v>
      </c>
      <c r="H775" s="633">
        <v>1510</v>
      </c>
      <c r="I775" s="618"/>
      <c r="J775" s="619" t="s">
        <v>1114</v>
      </c>
      <c r="K775" s="618"/>
      <c r="L775" s="619">
        <v>107</v>
      </c>
      <c r="M775" s="620">
        <v>102</v>
      </c>
      <c r="N775" s="619"/>
      <c r="O775" s="619">
        <v>11</v>
      </c>
      <c r="P775" s="619" t="s">
        <v>760</v>
      </c>
      <c r="Q775" s="662"/>
      <c r="R775" s="618"/>
      <c r="S775" s="621" t="s">
        <v>1641</v>
      </c>
      <c r="T775" s="619" t="s">
        <v>1021</v>
      </c>
    </row>
    <row r="776" spans="1:20">
      <c r="A776" s="630">
        <v>4421510</v>
      </c>
      <c r="B776" s="628"/>
      <c r="C776" s="623"/>
      <c r="D776" s="623"/>
      <c r="E776" s="627" t="s">
        <v>1116</v>
      </c>
      <c r="F776" s="631" t="s">
        <v>1649</v>
      </c>
      <c r="G776" s="661">
        <v>442</v>
      </c>
      <c r="H776" s="633">
        <v>1510</v>
      </c>
      <c r="I776" s="618"/>
      <c r="J776" s="619" t="s">
        <v>1116</v>
      </c>
      <c r="K776" s="618"/>
      <c r="L776" s="619">
        <v>106</v>
      </c>
      <c r="M776" s="620">
        <v>101</v>
      </c>
      <c r="N776" s="619"/>
      <c r="O776" s="619">
        <v>11</v>
      </c>
      <c r="P776" s="619" t="s">
        <v>760</v>
      </c>
      <c r="Q776" s="662"/>
      <c r="R776" s="618"/>
      <c r="S776" s="621" t="s">
        <v>1641</v>
      </c>
      <c r="T776" s="619" t="s">
        <v>1023</v>
      </c>
    </row>
    <row r="777" spans="1:20">
      <c r="A777" s="630">
        <v>4001510</v>
      </c>
      <c r="B777" s="628"/>
      <c r="C777" s="623"/>
      <c r="D777" s="623"/>
      <c r="E777" s="627" t="s">
        <v>1118</v>
      </c>
      <c r="F777" s="631" t="s">
        <v>1650</v>
      </c>
      <c r="G777" s="661">
        <v>400</v>
      </c>
      <c r="H777" s="633">
        <v>1510</v>
      </c>
      <c r="I777" s="618"/>
      <c r="J777" s="619" t="s">
        <v>1118</v>
      </c>
      <c r="K777" s="618"/>
      <c r="L777" s="619">
        <v>108</v>
      </c>
      <c r="M777" s="620">
        <v>103</v>
      </c>
      <c r="N777" s="619"/>
      <c r="O777" s="619">
        <v>11</v>
      </c>
      <c r="P777" s="619" t="s">
        <v>760</v>
      </c>
      <c r="Q777" s="662"/>
      <c r="R777" s="618"/>
      <c r="S777" s="621" t="s">
        <v>1641</v>
      </c>
      <c r="T777" s="619" t="s">
        <v>1025</v>
      </c>
    </row>
    <row r="778" spans="1:20">
      <c r="A778" s="622"/>
      <c r="B778" s="628"/>
      <c r="C778" s="623"/>
      <c r="D778" s="623" t="s">
        <v>803</v>
      </c>
      <c r="E778" s="627" t="s">
        <v>252</v>
      </c>
      <c r="F778" s="626"/>
      <c r="G778" s="623"/>
      <c r="H778" s="627"/>
      <c r="I778" s="618"/>
      <c r="J778" s="618"/>
      <c r="K778" s="618"/>
      <c r="L778" s="618"/>
      <c r="M778" s="618"/>
      <c r="N778" s="618"/>
      <c r="O778" s="618"/>
      <c r="P778" s="618"/>
      <c r="Q778" s="662"/>
      <c r="R778" s="618"/>
      <c r="S778" s="621"/>
      <c r="T778" s="618"/>
    </row>
    <row r="779" spans="1:20">
      <c r="A779" s="622"/>
      <c r="B779" s="628"/>
      <c r="C779" s="623"/>
      <c r="D779" s="623"/>
      <c r="E779" s="627" t="s">
        <v>1120</v>
      </c>
      <c r="F779" s="626"/>
      <c r="G779" s="623"/>
      <c r="H779" s="627"/>
      <c r="I779" s="618"/>
      <c r="J779" s="618"/>
      <c r="K779" s="618"/>
      <c r="L779" s="618"/>
      <c r="M779" s="618"/>
      <c r="N779" s="618"/>
      <c r="O779" s="618"/>
      <c r="P779" s="618"/>
      <c r="Q779" s="662"/>
      <c r="R779" s="618"/>
      <c r="S779" s="621"/>
      <c r="T779" s="618"/>
    </row>
    <row r="780" spans="1:20">
      <c r="A780" s="630">
        <v>5611510</v>
      </c>
      <c r="B780" s="628"/>
      <c r="C780" s="623"/>
      <c r="D780" s="623"/>
      <c r="E780" s="627" t="s">
        <v>1121</v>
      </c>
      <c r="F780" s="631" t="s">
        <v>1651</v>
      </c>
      <c r="G780" s="661">
        <v>561</v>
      </c>
      <c r="H780" s="633">
        <v>1510</v>
      </c>
      <c r="I780" s="618"/>
      <c r="J780" s="619" t="s">
        <v>1121</v>
      </c>
      <c r="K780" s="618"/>
      <c r="L780" s="619">
        <v>119</v>
      </c>
      <c r="M780" s="620">
        <v>110</v>
      </c>
      <c r="N780" s="619"/>
      <c r="O780" s="619">
        <v>11</v>
      </c>
      <c r="P780" s="619" t="s">
        <v>760</v>
      </c>
      <c r="Q780" s="662"/>
      <c r="R780" s="618"/>
      <c r="S780" s="621" t="s">
        <v>1641</v>
      </c>
      <c r="T780" s="619" t="s">
        <v>1030</v>
      </c>
    </row>
    <row r="781" spans="1:20">
      <c r="A781" s="630">
        <v>5621510</v>
      </c>
      <c r="B781" s="628"/>
      <c r="C781" s="623"/>
      <c r="D781" s="623"/>
      <c r="E781" s="627" t="s">
        <v>1123</v>
      </c>
      <c r="F781" s="631" t="s">
        <v>1652</v>
      </c>
      <c r="G781" s="661">
        <v>562</v>
      </c>
      <c r="H781" s="633">
        <v>1510</v>
      </c>
      <c r="I781" s="618"/>
      <c r="J781" s="619" t="s">
        <v>1123</v>
      </c>
      <c r="K781" s="618"/>
      <c r="L781" s="619">
        <v>119</v>
      </c>
      <c r="M781" s="620">
        <v>110</v>
      </c>
      <c r="N781" s="619"/>
      <c r="O781" s="619">
        <v>11</v>
      </c>
      <c r="P781" s="619" t="s">
        <v>760</v>
      </c>
      <c r="Q781" s="662"/>
      <c r="R781" s="618"/>
      <c r="S781" s="621" t="s">
        <v>1641</v>
      </c>
      <c r="T781" s="619" t="s">
        <v>1033</v>
      </c>
    </row>
    <row r="782" spans="1:20">
      <c r="A782" s="630">
        <v>5631510</v>
      </c>
      <c r="B782" s="628"/>
      <c r="C782" s="623"/>
      <c r="D782" s="623"/>
      <c r="E782" s="627" t="s">
        <v>1304</v>
      </c>
      <c r="F782" s="631" t="s">
        <v>1653</v>
      </c>
      <c r="G782" s="661">
        <v>563</v>
      </c>
      <c r="H782" s="633">
        <v>1510</v>
      </c>
      <c r="I782" s="618"/>
      <c r="J782" s="619" t="s">
        <v>1304</v>
      </c>
      <c r="K782" s="618"/>
      <c r="L782" s="619">
        <v>119</v>
      </c>
      <c r="M782" s="620">
        <v>110</v>
      </c>
      <c r="N782" s="619"/>
      <c r="O782" s="619">
        <v>11</v>
      </c>
      <c r="P782" s="619" t="s">
        <v>760</v>
      </c>
      <c r="Q782" s="662"/>
      <c r="R782" s="618"/>
      <c r="S782" s="621" t="s">
        <v>1641</v>
      </c>
      <c r="T782" s="619" t="s">
        <v>1036</v>
      </c>
    </row>
    <row r="783" spans="1:20">
      <c r="A783" s="630">
        <v>5821510</v>
      </c>
      <c r="B783" s="628"/>
      <c r="C783" s="623"/>
      <c r="D783" s="623"/>
      <c r="E783" s="627" t="s">
        <v>1134</v>
      </c>
      <c r="F783" s="631" t="s">
        <v>1654</v>
      </c>
      <c r="G783" s="661">
        <v>582</v>
      </c>
      <c r="H783" s="633">
        <v>1510</v>
      </c>
      <c r="I783" s="618"/>
      <c r="J783" s="619" t="s">
        <v>1134</v>
      </c>
      <c r="K783" s="618"/>
      <c r="L783" s="619">
        <v>118</v>
      </c>
      <c r="M783" s="620">
        <v>109</v>
      </c>
      <c r="N783" s="619"/>
      <c r="O783" s="619">
        <v>11</v>
      </c>
      <c r="P783" s="619" t="s">
        <v>760</v>
      </c>
      <c r="Q783" s="662"/>
      <c r="R783" s="618"/>
      <c r="S783" s="621" t="s">
        <v>1641</v>
      </c>
      <c r="T783" s="619" t="s">
        <v>1037</v>
      </c>
    </row>
    <row r="784" spans="1:20">
      <c r="A784" s="630">
        <v>5001510</v>
      </c>
      <c r="B784" s="628"/>
      <c r="C784" s="623"/>
      <c r="D784" s="623"/>
      <c r="E784" s="627" t="s">
        <v>1136</v>
      </c>
      <c r="F784" s="631" t="s">
        <v>1655</v>
      </c>
      <c r="G784" s="661">
        <v>500</v>
      </c>
      <c r="H784" s="633">
        <v>1510</v>
      </c>
      <c r="I784" s="618"/>
      <c r="J784" s="619" t="s">
        <v>1136</v>
      </c>
      <c r="K784" s="618"/>
      <c r="L784" s="619">
        <v>119</v>
      </c>
      <c r="M784" s="620">
        <v>110</v>
      </c>
      <c r="N784" s="619"/>
      <c r="O784" s="619">
        <v>11</v>
      </c>
      <c r="P784" s="619" t="s">
        <v>760</v>
      </c>
      <c r="Q784" s="662"/>
      <c r="R784" s="618"/>
      <c r="S784" s="621" t="s">
        <v>1641</v>
      </c>
      <c r="T784" s="619" t="s">
        <v>252</v>
      </c>
    </row>
    <row r="785" spans="1:20">
      <c r="A785" s="622"/>
      <c r="B785" s="628"/>
      <c r="C785" s="623"/>
      <c r="D785" s="623" t="s">
        <v>848</v>
      </c>
      <c r="E785" s="627" t="s">
        <v>1040</v>
      </c>
      <c r="F785" s="626"/>
      <c r="G785" s="623"/>
      <c r="H785" s="627"/>
      <c r="I785" s="618"/>
      <c r="J785" s="618"/>
      <c r="K785" s="618"/>
      <c r="L785" s="618"/>
      <c r="M785" s="618"/>
      <c r="N785" s="618"/>
      <c r="O785" s="618"/>
      <c r="P785" s="618"/>
      <c r="Q785" s="662"/>
      <c r="R785" s="618"/>
      <c r="S785" s="621"/>
      <c r="T785" s="618"/>
    </row>
    <row r="786" spans="1:20">
      <c r="A786" s="630">
        <v>6151510</v>
      </c>
      <c r="B786" s="628"/>
      <c r="C786" s="623"/>
      <c r="D786" s="623"/>
      <c r="E786" s="627" t="s">
        <v>1138</v>
      </c>
      <c r="F786" s="631" t="s">
        <v>1656</v>
      </c>
      <c r="G786" s="661">
        <v>615</v>
      </c>
      <c r="H786" s="633">
        <v>1510</v>
      </c>
      <c r="I786" s="618"/>
      <c r="J786" s="619" t="s">
        <v>1138</v>
      </c>
      <c r="K786" s="618"/>
      <c r="L786" s="619">
        <v>126</v>
      </c>
      <c r="M786" s="620">
        <v>117</v>
      </c>
      <c r="N786" s="619"/>
      <c r="O786" s="619">
        <v>11</v>
      </c>
      <c r="P786" s="619" t="s">
        <v>760</v>
      </c>
      <c r="Q786" s="662" t="s">
        <v>1043</v>
      </c>
      <c r="R786" s="618"/>
      <c r="S786" s="621" t="s">
        <v>1641</v>
      </c>
      <c r="T786" s="619" t="s">
        <v>1041</v>
      </c>
    </row>
    <row r="787" spans="1:20">
      <c r="A787" s="630">
        <v>6101510</v>
      </c>
      <c r="B787" s="628"/>
      <c r="C787" s="623"/>
      <c r="D787" s="623"/>
      <c r="E787" s="627" t="s">
        <v>1140</v>
      </c>
      <c r="F787" s="631" t="s">
        <v>1657</v>
      </c>
      <c r="G787" s="661">
        <v>610</v>
      </c>
      <c r="H787" s="633">
        <v>1510</v>
      </c>
      <c r="I787" s="618"/>
      <c r="J787" s="619" t="s">
        <v>1140</v>
      </c>
      <c r="K787" s="618"/>
      <c r="L787" s="619">
        <v>122</v>
      </c>
      <c r="M787" s="620">
        <v>113</v>
      </c>
      <c r="N787" s="619"/>
      <c r="O787" s="619">
        <v>11</v>
      </c>
      <c r="P787" s="619" t="s">
        <v>760</v>
      </c>
      <c r="Q787" s="662" t="s">
        <v>1043</v>
      </c>
      <c r="R787" s="618"/>
      <c r="S787" s="621" t="s">
        <v>1641</v>
      </c>
      <c r="T787" s="619" t="s">
        <v>39</v>
      </c>
    </row>
    <row r="788" spans="1:20">
      <c r="A788" s="630">
        <v>6421510</v>
      </c>
      <c r="B788" s="628"/>
      <c r="C788" s="623"/>
      <c r="D788" s="623"/>
      <c r="E788" s="627" t="s">
        <v>1142</v>
      </c>
      <c r="F788" s="631" t="s">
        <v>1658</v>
      </c>
      <c r="G788" s="661">
        <v>642</v>
      </c>
      <c r="H788" s="633">
        <v>1510</v>
      </c>
      <c r="I788" s="618"/>
      <c r="J788" s="619" t="s">
        <v>1142</v>
      </c>
      <c r="K788" s="618"/>
      <c r="L788" s="619">
        <v>125</v>
      </c>
      <c r="M788" s="620">
        <v>116</v>
      </c>
      <c r="N788" s="619"/>
      <c r="O788" s="619">
        <v>11</v>
      </c>
      <c r="P788" s="619" t="s">
        <v>760</v>
      </c>
      <c r="Q788" s="662" t="s">
        <v>1043</v>
      </c>
      <c r="R788" s="618"/>
      <c r="S788" s="621" t="s">
        <v>1641</v>
      </c>
      <c r="T788" s="619" t="s">
        <v>1046</v>
      </c>
    </row>
    <row r="789" spans="1:20">
      <c r="A789" s="630">
        <v>6001510</v>
      </c>
      <c r="B789" s="628"/>
      <c r="C789" s="623"/>
      <c r="D789" s="623"/>
      <c r="E789" s="627" t="s">
        <v>1144</v>
      </c>
      <c r="F789" s="631" t="s">
        <v>1659</v>
      </c>
      <c r="G789" s="661">
        <v>600</v>
      </c>
      <c r="H789" s="633">
        <v>1510</v>
      </c>
      <c r="I789" s="618"/>
      <c r="J789" s="619" t="s">
        <v>1144</v>
      </c>
      <c r="K789" s="618"/>
      <c r="L789" s="619">
        <v>126</v>
      </c>
      <c r="M789" s="620">
        <v>117</v>
      </c>
      <c r="N789" s="619"/>
      <c r="O789" s="619">
        <v>11</v>
      </c>
      <c r="P789" s="619" t="s">
        <v>760</v>
      </c>
      <c r="Q789" s="662"/>
      <c r="R789" s="618"/>
      <c r="S789" s="621" t="s">
        <v>1641</v>
      </c>
      <c r="T789" s="619" t="s">
        <v>1048</v>
      </c>
    </row>
    <row r="790" spans="1:20">
      <c r="A790" s="622"/>
      <c r="B790" s="628"/>
      <c r="C790" s="623"/>
      <c r="D790" s="623" t="s">
        <v>851</v>
      </c>
      <c r="E790" s="627" t="s">
        <v>1050</v>
      </c>
      <c r="F790" s="626"/>
      <c r="G790" s="623"/>
      <c r="H790" s="627"/>
      <c r="I790" s="618"/>
      <c r="J790" s="618"/>
      <c r="K790" s="618"/>
      <c r="L790" s="618"/>
      <c r="M790" s="618"/>
      <c r="N790" s="618"/>
      <c r="O790" s="618"/>
      <c r="P790" s="618"/>
      <c r="Q790" s="662"/>
      <c r="R790" s="618"/>
      <c r="S790" s="621"/>
      <c r="T790" s="618"/>
    </row>
    <row r="791" spans="1:20">
      <c r="A791" s="630">
        <v>7341510</v>
      </c>
      <c r="B791" s="628"/>
      <c r="C791" s="623"/>
      <c r="D791" s="623"/>
      <c r="E791" s="627" t="s">
        <v>1146</v>
      </c>
      <c r="F791" s="631" t="s">
        <v>1660</v>
      </c>
      <c r="G791" s="661">
        <v>734</v>
      </c>
      <c r="H791" s="633">
        <v>1510</v>
      </c>
      <c r="I791" s="618"/>
      <c r="J791" s="619" t="s">
        <v>1146</v>
      </c>
      <c r="K791" s="618"/>
      <c r="L791" s="619">
        <v>131</v>
      </c>
      <c r="M791" s="620">
        <v>122</v>
      </c>
      <c r="N791" s="619"/>
      <c r="O791" s="619">
        <v>11</v>
      </c>
      <c r="P791" s="619" t="s">
        <v>760</v>
      </c>
      <c r="Q791" s="662"/>
      <c r="R791" s="618"/>
      <c r="S791" s="621" t="s">
        <v>1641</v>
      </c>
      <c r="T791" s="619" t="s">
        <v>1051</v>
      </c>
    </row>
    <row r="792" spans="1:20">
      <c r="A792" s="630">
        <v>7351510</v>
      </c>
      <c r="B792" s="628"/>
      <c r="C792" s="623"/>
      <c r="D792" s="623"/>
      <c r="E792" s="627" t="s">
        <v>1148</v>
      </c>
      <c r="F792" s="631" t="s">
        <v>1661</v>
      </c>
      <c r="G792" s="661">
        <v>735</v>
      </c>
      <c r="H792" s="633">
        <v>1510</v>
      </c>
      <c r="I792" s="618"/>
      <c r="J792" s="619" t="s">
        <v>1148</v>
      </c>
      <c r="K792" s="618"/>
      <c r="L792" s="619">
        <v>131</v>
      </c>
      <c r="M792" s="620">
        <v>122</v>
      </c>
      <c r="N792" s="619"/>
      <c r="O792" s="619">
        <v>11</v>
      </c>
      <c r="P792" s="619" t="s">
        <v>760</v>
      </c>
      <c r="Q792" s="662"/>
      <c r="R792" s="618"/>
      <c r="S792" s="621" t="s">
        <v>1641</v>
      </c>
      <c r="T792" s="619" t="s">
        <v>1053</v>
      </c>
    </row>
    <row r="793" spans="1:20">
      <c r="A793" s="630">
        <v>7301510</v>
      </c>
      <c r="B793" s="628"/>
      <c r="C793" s="623"/>
      <c r="D793" s="623"/>
      <c r="E793" s="627" t="s">
        <v>1150</v>
      </c>
      <c r="F793" s="631" t="s">
        <v>1662</v>
      </c>
      <c r="G793" s="661">
        <v>730</v>
      </c>
      <c r="H793" s="633">
        <v>1510</v>
      </c>
      <c r="I793" s="618"/>
      <c r="J793" s="619" t="s">
        <v>1150</v>
      </c>
      <c r="K793" s="618"/>
      <c r="L793" s="619">
        <v>131</v>
      </c>
      <c r="M793" s="620">
        <v>122</v>
      </c>
      <c r="N793" s="619"/>
      <c r="O793" s="619">
        <v>11</v>
      </c>
      <c r="P793" s="619" t="s">
        <v>760</v>
      </c>
      <c r="Q793" s="662"/>
      <c r="R793" s="618"/>
      <c r="S793" s="621" t="s">
        <v>1641</v>
      </c>
      <c r="T793" s="619" t="s">
        <v>1055</v>
      </c>
    </row>
    <row r="794" spans="1:20">
      <c r="A794" s="630">
        <v>7001510</v>
      </c>
      <c r="B794" s="628"/>
      <c r="C794" s="623"/>
      <c r="D794" s="623"/>
      <c r="E794" s="627" t="s">
        <v>1152</v>
      </c>
      <c r="F794" s="631" t="s">
        <v>1663</v>
      </c>
      <c r="G794" s="661">
        <v>700</v>
      </c>
      <c r="H794" s="633">
        <v>1510</v>
      </c>
      <c r="I794" s="618"/>
      <c r="J794" s="619" t="s">
        <v>1152</v>
      </c>
      <c r="K794" s="618"/>
      <c r="L794" s="619">
        <v>132</v>
      </c>
      <c r="M794" s="620">
        <v>123</v>
      </c>
      <c r="N794" s="619"/>
      <c r="O794" s="619">
        <v>11</v>
      </c>
      <c r="P794" s="619" t="s">
        <v>760</v>
      </c>
      <c r="Q794" s="662"/>
      <c r="R794" s="618"/>
      <c r="S794" s="621" t="s">
        <v>1641</v>
      </c>
      <c r="T794" s="619" t="s">
        <v>1057</v>
      </c>
    </row>
    <row r="795" spans="1:20">
      <c r="A795" s="622"/>
      <c r="B795" s="628"/>
      <c r="C795" s="623"/>
      <c r="D795" s="623" t="s">
        <v>854</v>
      </c>
      <c r="E795" s="627" t="s">
        <v>256</v>
      </c>
      <c r="F795" s="626"/>
      <c r="G795" s="623"/>
      <c r="H795" s="627"/>
      <c r="I795" s="618"/>
      <c r="J795" s="618"/>
      <c r="K795" s="618"/>
      <c r="L795" s="618"/>
      <c r="M795" s="618"/>
      <c r="N795" s="618"/>
      <c r="O795" s="618"/>
      <c r="P795" s="618"/>
      <c r="Q795" s="662"/>
      <c r="R795" s="618"/>
      <c r="S795" s="621"/>
      <c r="T795" s="618"/>
    </row>
    <row r="796" spans="1:20">
      <c r="A796" s="630">
        <v>8951510</v>
      </c>
      <c r="B796" s="628"/>
      <c r="C796" s="623"/>
      <c r="D796" s="623"/>
      <c r="E796" s="627" t="s">
        <v>1154</v>
      </c>
      <c r="F796" s="634" t="s">
        <v>1664</v>
      </c>
      <c r="G796" s="629">
        <v>895</v>
      </c>
      <c r="H796" s="635">
        <v>1510</v>
      </c>
      <c r="I796" s="618"/>
      <c r="J796" s="619" t="s">
        <v>1154</v>
      </c>
      <c r="K796" s="618"/>
      <c r="L796" s="619">
        <v>139</v>
      </c>
      <c r="M796" s="620">
        <v>129</v>
      </c>
      <c r="N796" s="619"/>
      <c r="O796" s="619">
        <v>11</v>
      </c>
      <c r="P796" s="619" t="s">
        <v>760</v>
      </c>
      <c r="Q796" s="662"/>
      <c r="R796" s="618"/>
      <c r="S796" s="621" t="s">
        <v>1641</v>
      </c>
      <c r="T796" s="619" t="s">
        <v>1059</v>
      </c>
    </row>
    <row r="797" spans="1:20">
      <c r="A797" s="630">
        <v>8001510</v>
      </c>
      <c r="B797" s="628"/>
      <c r="C797" s="623"/>
      <c r="D797" s="623"/>
      <c r="E797" s="627" t="s">
        <v>1156</v>
      </c>
      <c r="F797" s="634" t="s">
        <v>1665</v>
      </c>
      <c r="G797" s="629">
        <v>800</v>
      </c>
      <c r="H797" s="635">
        <v>1510</v>
      </c>
      <c r="I797" s="618"/>
      <c r="J797" s="619" t="s">
        <v>1156</v>
      </c>
      <c r="K797" s="618"/>
      <c r="L797" s="619">
        <v>139</v>
      </c>
      <c r="M797" s="620">
        <v>129</v>
      </c>
      <c r="N797" s="619"/>
      <c r="O797" s="619">
        <v>11</v>
      </c>
      <c r="P797" s="619" t="s">
        <v>760</v>
      </c>
      <c r="Q797" s="662"/>
      <c r="R797" s="618"/>
      <c r="S797" s="621" t="s">
        <v>1641</v>
      </c>
      <c r="T797" s="619" t="s">
        <v>1061</v>
      </c>
    </row>
    <row r="798" spans="1:20">
      <c r="A798" s="622"/>
      <c r="B798" s="628"/>
      <c r="C798" s="623"/>
      <c r="D798" s="623" t="s">
        <v>857</v>
      </c>
      <c r="E798" s="627" t="s">
        <v>1063</v>
      </c>
      <c r="F798" s="626"/>
      <c r="G798" s="623"/>
      <c r="H798" s="627"/>
      <c r="I798" s="618"/>
      <c r="J798" s="618"/>
      <c r="K798" s="618"/>
      <c r="L798" s="618"/>
      <c r="M798" s="618"/>
      <c r="N798" s="618"/>
      <c r="O798" s="618"/>
      <c r="P798" s="618"/>
      <c r="Q798" s="662"/>
      <c r="R798" s="618"/>
      <c r="S798" s="621"/>
      <c r="T798" s="618"/>
    </row>
    <row r="799" spans="1:20">
      <c r="A799" s="630">
        <v>2101510</v>
      </c>
      <c r="B799" s="628"/>
      <c r="C799" s="623"/>
      <c r="D799" s="623"/>
      <c r="E799" s="627" t="s">
        <v>1158</v>
      </c>
      <c r="F799" s="634" t="s">
        <v>1666</v>
      </c>
      <c r="G799" s="629">
        <v>210</v>
      </c>
      <c r="H799" s="635">
        <v>1510</v>
      </c>
      <c r="I799" s="618"/>
      <c r="J799" s="619" t="s">
        <v>1158</v>
      </c>
      <c r="K799" s="618"/>
      <c r="L799" s="619">
        <v>89</v>
      </c>
      <c r="M799" s="620">
        <v>84</v>
      </c>
      <c r="N799" s="619"/>
      <c r="O799" s="619">
        <v>11</v>
      </c>
      <c r="P799" s="619" t="s">
        <v>760</v>
      </c>
      <c r="Q799" s="662" t="s">
        <v>1002</v>
      </c>
      <c r="R799" s="618"/>
      <c r="S799" s="621" t="s">
        <v>1641</v>
      </c>
      <c r="T799" s="619" t="s">
        <v>1064</v>
      </c>
    </row>
    <row r="800" spans="1:20">
      <c r="A800" s="630">
        <v>2201510</v>
      </c>
      <c r="B800" s="628"/>
      <c r="C800" s="623"/>
      <c r="D800" s="623"/>
      <c r="E800" s="627" t="s">
        <v>1160</v>
      </c>
      <c r="F800" s="634" t="s">
        <v>1667</v>
      </c>
      <c r="G800" s="629">
        <v>220</v>
      </c>
      <c r="H800" s="635">
        <v>1510</v>
      </c>
      <c r="I800" s="618"/>
      <c r="J800" s="619" t="s">
        <v>1160</v>
      </c>
      <c r="K800" s="618"/>
      <c r="L800" s="619">
        <v>90</v>
      </c>
      <c r="M800" s="620">
        <v>85</v>
      </c>
      <c r="N800" s="619"/>
      <c r="O800" s="619">
        <v>11</v>
      </c>
      <c r="P800" s="619" t="s">
        <v>760</v>
      </c>
      <c r="Q800" s="662" t="s">
        <v>1002</v>
      </c>
      <c r="R800" s="618"/>
      <c r="S800" s="621" t="s">
        <v>1641</v>
      </c>
      <c r="T800" s="619" t="s">
        <v>1066</v>
      </c>
    </row>
    <row r="801" spans="1:20">
      <c r="A801" s="630">
        <v>2251510</v>
      </c>
      <c r="B801" s="670"/>
      <c r="C801" s="632"/>
      <c r="D801" s="632"/>
      <c r="E801" s="637" t="s">
        <v>1162</v>
      </c>
      <c r="F801" s="631" t="s">
        <v>1668</v>
      </c>
      <c r="G801" s="661">
        <v>225</v>
      </c>
      <c r="H801" s="633">
        <v>1510</v>
      </c>
      <c r="I801" s="618"/>
      <c r="J801" s="619" t="s">
        <v>1162</v>
      </c>
      <c r="K801" s="618"/>
      <c r="L801" s="619">
        <v>91</v>
      </c>
      <c r="M801" s="620">
        <v>86</v>
      </c>
      <c r="N801" s="619"/>
      <c r="O801" s="619">
        <v>11</v>
      </c>
      <c r="P801" s="619" t="s">
        <v>760</v>
      </c>
      <c r="Q801" s="662" t="s">
        <v>1002</v>
      </c>
      <c r="R801" s="618"/>
      <c r="S801" s="621" t="s">
        <v>1641</v>
      </c>
      <c r="T801" s="619" t="s">
        <v>23</v>
      </c>
    </row>
    <row r="802" spans="1:20">
      <c r="A802" s="622"/>
      <c r="B802" s="628"/>
      <c r="C802" s="623"/>
      <c r="D802" s="623"/>
      <c r="E802" s="627" t="s">
        <v>1164</v>
      </c>
      <c r="F802" s="626"/>
      <c r="G802" s="623"/>
      <c r="H802" s="627"/>
      <c r="I802" s="618"/>
      <c r="J802" s="618"/>
      <c r="K802" s="618"/>
      <c r="L802" s="618"/>
      <c r="M802" s="618"/>
      <c r="N802" s="618"/>
      <c r="O802" s="618"/>
      <c r="P802" s="618"/>
      <c r="Q802" s="662"/>
      <c r="R802" s="618"/>
      <c r="S802" s="621"/>
      <c r="T802" s="618"/>
    </row>
    <row r="803" spans="1:20">
      <c r="A803" s="630">
        <v>2311510</v>
      </c>
      <c r="B803" s="628"/>
      <c r="C803" s="623"/>
      <c r="D803" s="623"/>
      <c r="E803" s="627" t="s">
        <v>1165</v>
      </c>
      <c r="F803" s="634" t="s">
        <v>1669</v>
      </c>
      <c r="G803" s="629">
        <v>231</v>
      </c>
      <c r="H803" s="635">
        <v>1510</v>
      </c>
      <c r="I803" s="618"/>
      <c r="J803" s="619" t="s">
        <v>1165</v>
      </c>
      <c r="K803" s="618"/>
      <c r="L803" s="619">
        <v>92</v>
      </c>
      <c r="M803" s="620">
        <v>87</v>
      </c>
      <c r="N803" s="619"/>
      <c r="O803" s="619">
        <v>11</v>
      </c>
      <c r="P803" s="619" t="s">
        <v>760</v>
      </c>
      <c r="Q803" s="662" t="s">
        <v>1002</v>
      </c>
      <c r="R803" s="618"/>
      <c r="S803" s="621" t="s">
        <v>1641</v>
      </c>
      <c r="T803" s="619" t="s">
        <v>1072</v>
      </c>
    </row>
    <row r="804" spans="1:20">
      <c r="A804" s="630">
        <v>2331510</v>
      </c>
      <c r="B804" s="628"/>
      <c r="C804" s="623"/>
      <c r="D804" s="623"/>
      <c r="E804" s="627" t="s">
        <v>1167</v>
      </c>
      <c r="F804" s="634" t="s">
        <v>1670</v>
      </c>
      <c r="G804" s="629">
        <v>233</v>
      </c>
      <c r="H804" s="635">
        <v>1510</v>
      </c>
      <c r="I804" s="618"/>
      <c r="J804" s="619" t="s">
        <v>1167</v>
      </c>
      <c r="K804" s="618"/>
      <c r="L804" s="619">
        <v>92</v>
      </c>
      <c r="M804" s="620">
        <v>87</v>
      </c>
      <c r="N804" s="619"/>
      <c r="O804" s="619">
        <v>11</v>
      </c>
      <c r="P804" s="619" t="s">
        <v>760</v>
      </c>
      <c r="Q804" s="662" t="s">
        <v>1002</v>
      </c>
      <c r="R804" s="618"/>
      <c r="S804" s="621" t="s">
        <v>1641</v>
      </c>
      <c r="T804" s="619" t="s">
        <v>1169</v>
      </c>
    </row>
    <row r="805" spans="1:20">
      <c r="A805" s="630">
        <v>2391510</v>
      </c>
      <c r="B805" s="628"/>
      <c r="C805" s="623"/>
      <c r="D805" s="623"/>
      <c r="E805" s="627" t="s">
        <v>1170</v>
      </c>
      <c r="F805" s="634" t="s">
        <v>1671</v>
      </c>
      <c r="G805" s="629">
        <v>239</v>
      </c>
      <c r="H805" s="635">
        <v>1510</v>
      </c>
      <c r="I805" s="618"/>
      <c r="J805" s="619" t="s">
        <v>1170</v>
      </c>
      <c r="K805" s="618"/>
      <c r="L805" s="619">
        <v>92</v>
      </c>
      <c r="M805" s="620">
        <v>87</v>
      </c>
      <c r="N805" s="619"/>
      <c r="O805" s="619">
        <v>11</v>
      </c>
      <c r="P805" s="619" t="s">
        <v>760</v>
      </c>
      <c r="Q805" s="662" t="s">
        <v>1002</v>
      </c>
      <c r="R805" s="618"/>
      <c r="S805" s="621" t="s">
        <v>1641</v>
      </c>
      <c r="T805" s="619" t="s">
        <v>1078</v>
      </c>
    </row>
    <row r="806" spans="1:20">
      <c r="A806" s="630">
        <v>2501510</v>
      </c>
      <c r="B806" s="628"/>
      <c r="C806" s="623"/>
      <c r="D806" s="623"/>
      <c r="E806" s="627" t="s">
        <v>1172</v>
      </c>
      <c r="F806" s="634" t="s">
        <v>1672</v>
      </c>
      <c r="G806" s="629">
        <v>250</v>
      </c>
      <c r="H806" s="635">
        <v>1510</v>
      </c>
      <c r="I806" s="618"/>
      <c r="J806" s="619" t="s">
        <v>1172</v>
      </c>
      <c r="K806" s="618"/>
      <c r="L806" s="619">
        <v>93</v>
      </c>
      <c r="M806" s="620">
        <v>88</v>
      </c>
      <c r="N806" s="619"/>
      <c r="O806" s="619">
        <v>11</v>
      </c>
      <c r="P806" s="619" t="s">
        <v>760</v>
      </c>
      <c r="Q806" s="662" t="s">
        <v>1002</v>
      </c>
      <c r="R806" s="618"/>
      <c r="S806" s="621" t="s">
        <v>1641</v>
      </c>
      <c r="T806" s="619" t="s">
        <v>1079</v>
      </c>
    </row>
    <row r="807" spans="1:20">
      <c r="A807" s="630">
        <v>2601510</v>
      </c>
      <c r="B807" s="628"/>
      <c r="C807" s="623"/>
      <c r="D807" s="623"/>
      <c r="E807" s="627" t="s">
        <v>1174</v>
      </c>
      <c r="F807" s="634" t="s">
        <v>1673</v>
      </c>
      <c r="G807" s="629">
        <v>260</v>
      </c>
      <c r="H807" s="635">
        <v>1510</v>
      </c>
      <c r="I807" s="618"/>
      <c r="J807" s="619" t="s">
        <v>1174</v>
      </c>
      <c r="K807" s="618"/>
      <c r="L807" s="619">
        <v>95</v>
      </c>
      <c r="M807" s="620">
        <v>90</v>
      </c>
      <c r="N807" s="619"/>
      <c r="O807" s="619">
        <v>11</v>
      </c>
      <c r="P807" s="619" t="s">
        <v>760</v>
      </c>
      <c r="Q807" s="662" t="s">
        <v>1002</v>
      </c>
      <c r="R807" s="618"/>
      <c r="S807" s="621" t="s">
        <v>1641</v>
      </c>
      <c r="T807" s="619" t="s">
        <v>1081</v>
      </c>
    </row>
    <row r="808" spans="1:20">
      <c r="A808" s="630">
        <v>2701510</v>
      </c>
      <c r="B808" s="628"/>
      <c r="C808" s="623"/>
      <c r="D808" s="623"/>
      <c r="E808" s="627" t="s">
        <v>1176</v>
      </c>
      <c r="F808" s="634" t="s">
        <v>1674</v>
      </c>
      <c r="G808" s="629">
        <v>270</v>
      </c>
      <c r="H808" s="635">
        <v>1510</v>
      </c>
      <c r="I808" s="618"/>
      <c r="J808" s="619" t="s">
        <v>1176</v>
      </c>
      <c r="K808" s="618"/>
      <c r="L808" s="619">
        <v>94</v>
      </c>
      <c r="M808" s="620">
        <v>89</v>
      </c>
      <c r="N808" s="619"/>
      <c r="O808" s="619">
        <v>11</v>
      </c>
      <c r="P808" s="619" t="s">
        <v>760</v>
      </c>
      <c r="Q808" s="662" t="s">
        <v>1002</v>
      </c>
      <c r="R808" s="618"/>
      <c r="S808" s="621" t="s">
        <v>1641</v>
      </c>
      <c r="T808" s="619" t="s">
        <v>1083</v>
      </c>
    </row>
    <row r="809" spans="1:20">
      <c r="A809" s="630">
        <v>2811510</v>
      </c>
      <c r="B809" s="628"/>
      <c r="C809" s="623"/>
      <c r="D809" s="623"/>
      <c r="E809" s="627" t="s">
        <v>1178</v>
      </c>
      <c r="F809" s="634" t="s">
        <v>1675</v>
      </c>
      <c r="G809" s="629">
        <v>281</v>
      </c>
      <c r="H809" s="635">
        <v>1510</v>
      </c>
      <c r="I809" s="618"/>
      <c r="J809" s="619" t="s">
        <v>1178</v>
      </c>
      <c r="K809" s="618"/>
      <c r="L809" s="619">
        <v>95</v>
      </c>
      <c r="M809" s="620">
        <v>90</v>
      </c>
      <c r="N809" s="619"/>
      <c r="O809" s="619">
        <v>11</v>
      </c>
      <c r="P809" s="619" t="s">
        <v>760</v>
      </c>
      <c r="Q809" s="662" t="s">
        <v>1002</v>
      </c>
      <c r="R809" s="618"/>
      <c r="S809" s="621" t="s">
        <v>1641</v>
      </c>
      <c r="T809" s="619" t="s">
        <v>1085</v>
      </c>
    </row>
    <row r="810" spans="1:20">
      <c r="A810" s="630">
        <v>2821510</v>
      </c>
      <c r="B810" s="628"/>
      <c r="C810" s="623"/>
      <c r="D810" s="623"/>
      <c r="E810" s="627" t="s">
        <v>1180</v>
      </c>
      <c r="F810" s="634" t="s">
        <v>1676</v>
      </c>
      <c r="G810" s="629">
        <v>282</v>
      </c>
      <c r="H810" s="635">
        <v>1510</v>
      </c>
      <c r="I810" s="618"/>
      <c r="J810" s="619" t="s">
        <v>1180</v>
      </c>
      <c r="K810" s="618"/>
      <c r="L810" s="619">
        <v>95</v>
      </c>
      <c r="M810" s="620">
        <v>90</v>
      </c>
      <c r="N810" s="619"/>
      <c r="O810" s="619">
        <v>11</v>
      </c>
      <c r="P810" s="619" t="s">
        <v>760</v>
      </c>
      <c r="Q810" s="662" t="s">
        <v>1002</v>
      </c>
      <c r="R810" s="618"/>
      <c r="S810" s="621" t="s">
        <v>1641</v>
      </c>
      <c r="T810" s="619" t="s">
        <v>1087</v>
      </c>
    </row>
    <row r="811" spans="1:20">
      <c r="A811" s="630">
        <v>2901510</v>
      </c>
      <c r="B811" s="628"/>
      <c r="C811" s="623"/>
      <c r="D811" s="623"/>
      <c r="E811" s="627" t="s">
        <v>1182</v>
      </c>
      <c r="F811" s="634" t="s">
        <v>1677</v>
      </c>
      <c r="G811" s="629">
        <v>290</v>
      </c>
      <c r="H811" s="635">
        <v>1510</v>
      </c>
      <c r="I811" s="618"/>
      <c r="J811" s="619" t="s">
        <v>1182</v>
      </c>
      <c r="K811" s="618"/>
      <c r="L811" s="619">
        <v>95</v>
      </c>
      <c r="M811" s="620">
        <v>90</v>
      </c>
      <c r="N811" s="619"/>
      <c r="O811" s="619">
        <v>11</v>
      </c>
      <c r="P811" s="619" t="s">
        <v>760</v>
      </c>
      <c r="Q811" s="662" t="s">
        <v>1002</v>
      </c>
      <c r="R811" s="618"/>
      <c r="S811" s="621" t="s">
        <v>1641</v>
      </c>
      <c r="T811" s="619" t="s">
        <v>1090</v>
      </c>
    </row>
    <row r="812" spans="1:20">
      <c r="A812" s="622"/>
      <c r="B812" s="628"/>
      <c r="C812" s="629">
        <v>28</v>
      </c>
      <c r="D812" s="774" t="s">
        <v>1678</v>
      </c>
      <c r="E812" s="775"/>
      <c r="F812" s="626"/>
      <c r="G812" s="623"/>
      <c r="H812" s="627"/>
      <c r="I812" s="618"/>
      <c r="J812" s="618"/>
      <c r="K812" s="618"/>
      <c r="L812" s="618"/>
      <c r="M812" s="618"/>
      <c r="N812" s="618"/>
      <c r="O812" s="618"/>
      <c r="P812" s="618"/>
      <c r="Q812" s="662"/>
      <c r="R812" s="618"/>
      <c r="S812" s="621"/>
      <c r="T812" s="618"/>
    </row>
    <row r="813" spans="1:20">
      <c r="A813" s="622"/>
      <c r="B813" s="628"/>
      <c r="C813" s="623"/>
      <c r="D813" s="623" t="s">
        <v>756</v>
      </c>
      <c r="E813" s="627" t="s">
        <v>244</v>
      </c>
      <c r="F813" s="626"/>
      <c r="G813" s="623"/>
      <c r="H813" s="627"/>
      <c r="I813" s="618"/>
      <c r="J813" s="618"/>
      <c r="K813" s="618"/>
      <c r="L813" s="618"/>
      <c r="M813" s="618"/>
      <c r="N813" s="618"/>
      <c r="O813" s="618"/>
      <c r="P813" s="618"/>
      <c r="Q813" s="662"/>
      <c r="R813" s="618"/>
      <c r="S813" s="621"/>
      <c r="T813" s="618"/>
    </row>
    <row r="814" spans="1:20">
      <c r="A814" s="630">
        <v>1121520</v>
      </c>
      <c r="B814" s="628"/>
      <c r="C814" s="623"/>
      <c r="D814" s="623"/>
      <c r="E814" s="627" t="s">
        <v>1096</v>
      </c>
      <c r="F814" s="631" t="s">
        <v>1679</v>
      </c>
      <c r="G814" s="661">
        <v>112</v>
      </c>
      <c r="H814" s="633">
        <v>1520</v>
      </c>
      <c r="I814" s="618"/>
      <c r="J814" s="619" t="s">
        <v>1096</v>
      </c>
      <c r="K814" s="618"/>
      <c r="L814" s="619">
        <v>82</v>
      </c>
      <c r="M814" s="620">
        <v>77</v>
      </c>
      <c r="N814" s="619"/>
      <c r="O814" s="619">
        <v>11</v>
      </c>
      <c r="P814" s="619" t="s">
        <v>760</v>
      </c>
      <c r="Q814" s="662" t="s">
        <v>1002</v>
      </c>
      <c r="R814" s="618"/>
      <c r="S814" s="621" t="s">
        <v>1680</v>
      </c>
      <c r="T814" s="619" t="s">
        <v>5</v>
      </c>
    </row>
    <row r="815" spans="1:20">
      <c r="A815" s="630">
        <v>1151520</v>
      </c>
      <c r="B815" s="628"/>
      <c r="C815" s="623"/>
      <c r="D815" s="623"/>
      <c r="E815" s="627" t="s">
        <v>1099</v>
      </c>
      <c r="F815" s="631" t="s">
        <v>1681</v>
      </c>
      <c r="G815" s="661">
        <v>115</v>
      </c>
      <c r="H815" s="633">
        <v>1520</v>
      </c>
      <c r="I815" s="618"/>
      <c r="J815" s="619" t="s">
        <v>1099</v>
      </c>
      <c r="K815" s="618"/>
      <c r="L815" s="619">
        <v>86</v>
      </c>
      <c r="M815" s="620">
        <v>81</v>
      </c>
      <c r="N815" s="619"/>
      <c r="O815" s="619">
        <v>11</v>
      </c>
      <c r="P815" s="619" t="s">
        <v>760</v>
      </c>
      <c r="Q815" s="662" t="s">
        <v>1002</v>
      </c>
      <c r="R815" s="618"/>
      <c r="S815" s="621" t="s">
        <v>1680</v>
      </c>
      <c r="T815" s="619" t="s">
        <v>1101</v>
      </c>
    </row>
    <row r="816" spans="1:20">
      <c r="A816" s="630">
        <v>1231520</v>
      </c>
      <c r="B816" s="628"/>
      <c r="C816" s="623"/>
      <c r="D816" s="623"/>
      <c r="E816" s="627" t="s">
        <v>1102</v>
      </c>
      <c r="F816" s="631" t="s">
        <v>1682</v>
      </c>
      <c r="G816" s="661">
        <v>123</v>
      </c>
      <c r="H816" s="633">
        <v>1520</v>
      </c>
      <c r="I816" s="618"/>
      <c r="J816" s="619" t="s">
        <v>1102</v>
      </c>
      <c r="K816" s="618"/>
      <c r="L816" s="619">
        <v>86</v>
      </c>
      <c r="M816" s="620">
        <v>81</v>
      </c>
      <c r="N816" s="619"/>
      <c r="O816" s="619">
        <v>11</v>
      </c>
      <c r="P816" s="619" t="s">
        <v>760</v>
      </c>
      <c r="Q816" s="662" t="s">
        <v>1002</v>
      </c>
      <c r="R816" s="618"/>
      <c r="S816" s="621" t="s">
        <v>1680</v>
      </c>
      <c r="T816" s="619" t="s">
        <v>1104</v>
      </c>
    </row>
    <row r="817" spans="1:20">
      <c r="A817" s="630">
        <v>1201520</v>
      </c>
      <c r="B817" s="628"/>
      <c r="C817" s="623"/>
      <c r="D817" s="623"/>
      <c r="E817" s="627" t="s">
        <v>1105</v>
      </c>
      <c r="F817" s="631" t="s">
        <v>1683</v>
      </c>
      <c r="G817" s="661">
        <v>120</v>
      </c>
      <c r="H817" s="633">
        <v>1520</v>
      </c>
      <c r="I817" s="618"/>
      <c r="J817" s="619" t="s">
        <v>1105</v>
      </c>
      <c r="K817" s="618"/>
      <c r="L817" s="619">
        <v>86</v>
      </c>
      <c r="M817" s="620">
        <v>81</v>
      </c>
      <c r="N817" s="619"/>
      <c r="O817" s="619">
        <v>11</v>
      </c>
      <c r="P817" s="619" t="s">
        <v>760</v>
      </c>
      <c r="Q817" s="662" t="s">
        <v>1002</v>
      </c>
      <c r="R817" s="618"/>
      <c r="S817" s="621" t="s">
        <v>1680</v>
      </c>
      <c r="T817" s="619" t="s">
        <v>1107</v>
      </c>
    </row>
    <row r="818" spans="1:20">
      <c r="A818" s="630">
        <v>1001520</v>
      </c>
      <c r="B818" s="628"/>
      <c r="C818" s="623"/>
      <c r="D818" s="623"/>
      <c r="E818" s="627" t="s">
        <v>1108</v>
      </c>
      <c r="F818" s="631" t="s">
        <v>1684</v>
      </c>
      <c r="G818" s="661">
        <v>100</v>
      </c>
      <c r="H818" s="633">
        <v>1520</v>
      </c>
      <c r="I818" s="618"/>
      <c r="J818" s="619" t="s">
        <v>1108</v>
      </c>
      <c r="K818" s="618"/>
      <c r="L818" s="619">
        <v>86</v>
      </c>
      <c r="M818" s="620">
        <v>81</v>
      </c>
      <c r="N818" s="619"/>
      <c r="O818" s="619">
        <v>11</v>
      </c>
      <c r="P818" s="619" t="s">
        <v>760</v>
      </c>
      <c r="Q818" s="662" t="s">
        <v>1002</v>
      </c>
      <c r="R818" s="618"/>
      <c r="S818" s="621" t="s">
        <v>1680</v>
      </c>
      <c r="T818" s="619" t="s">
        <v>1015</v>
      </c>
    </row>
    <row r="819" spans="1:20">
      <c r="A819" s="630">
        <v>1401520</v>
      </c>
      <c r="B819" s="628"/>
      <c r="C819" s="623"/>
      <c r="D819" s="623"/>
      <c r="E819" s="627" t="s">
        <v>1110</v>
      </c>
      <c r="F819" s="631" t="s">
        <v>1685</v>
      </c>
      <c r="G819" s="661">
        <v>140</v>
      </c>
      <c r="H819" s="633">
        <v>1520</v>
      </c>
      <c r="I819" s="618"/>
      <c r="J819" s="619" t="s">
        <v>1110</v>
      </c>
      <c r="K819" s="618"/>
      <c r="L819" s="619">
        <v>86</v>
      </c>
      <c r="M819" s="620">
        <v>81</v>
      </c>
      <c r="N819" s="619"/>
      <c r="O819" s="619">
        <v>11</v>
      </c>
      <c r="P819" s="619" t="s">
        <v>760</v>
      </c>
      <c r="Q819" s="662" t="s">
        <v>1002</v>
      </c>
      <c r="R819" s="618"/>
      <c r="S819" s="621" t="s">
        <v>1680</v>
      </c>
      <c r="T819" s="619" t="s">
        <v>1017</v>
      </c>
    </row>
    <row r="820" spans="1:20">
      <c r="A820" s="630">
        <v>3001520</v>
      </c>
      <c r="B820" s="628"/>
      <c r="C820" s="623"/>
      <c r="D820" s="623" t="s">
        <v>775</v>
      </c>
      <c r="E820" s="627" t="s">
        <v>1112</v>
      </c>
      <c r="F820" s="631" t="s">
        <v>1686</v>
      </c>
      <c r="G820" s="661">
        <v>300</v>
      </c>
      <c r="H820" s="633">
        <v>1520</v>
      </c>
      <c r="I820" s="618"/>
      <c r="J820" s="619" t="s">
        <v>1112</v>
      </c>
      <c r="K820" s="618"/>
      <c r="L820" s="619">
        <v>101</v>
      </c>
      <c r="M820" s="620">
        <v>96</v>
      </c>
      <c r="N820" s="619"/>
      <c r="O820" s="619">
        <v>11</v>
      </c>
      <c r="P820" s="619" t="s">
        <v>760</v>
      </c>
      <c r="Q820" s="662"/>
      <c r="R820" s="618"/>
      <c r="S820" s="621" t="s">
        <v>1680</v>
      </c>
      <c r="T820" s="619" t="s">
        <v>1112</v>
      </c>
    </row>
    <row r="821" spans="1:20">
      <c r="A821" s="622"/>
      <c r="B821" s="628"/>
      <c r="C821" s="623"/>
      <c r="D821" s="623" t="s">
        <v>799</v>
      </c>
      <c r="E821" s="627" t="s">
        <v>250</v>
      </c>
      <c r="F821" s="626"/>
      <c r="G821" s="623"/>
      <c r="H821" s="627"/>
      <c r="I821" s="618"/>
      <c r="J821" s="618"/>
      <c r="K821" s="618"/>
      <c r="L821" s="618"/>
      <c r="M821" s="618"/>
      <c r="N821" s="618"/>
      <c r="O821" s="618"/>
      <c r="P821" s="618"/>
      <c r="Q821" s="662"/>
      <c r="R821" s="618"/>
      <c r="S821" s="621"/>
      <c r="T821" s="618"/>
    </row>
    <row r="822" spans="1:20">
      <c r="A822" s="630">
        <v>4301520</v>
      </c>
      <c r="B822" s="628"/>
      <c r="C822" s="623"/>
      <c r="D822" s="623"/>
      <c r="E822" s="627" t="s">
        <v>1114</v>
      </c>
      <c r="F822" s="631" t="s">
        <v>1687</v>
      </c>
      <c r="G822" s="661">
        <v>430</v>
      </c>
      <c r="H822" s="633">
        <v>1520</v>
      </c>
      <c r="I822" s="618"/>
      <c r="J822" s="619" t="s">
        <v>1114</v>
      </c>
      <c r="K822" s="618"/>
      <c r="L822" s="619">
        <v>107</v>
      </c>
      <c r="M822" s="620">
        <v>102</v>
      </c>
      <c r="N822" s="619"/>
      <c r="O822" s="619">
        <v>11</v>
      </c>
      <c r="P822" s="619" t="s">
        <v>760</v>
      </c>
      <c r="Q822" s="662"/>
      <c r="R822" s="618"/>
      <c r="S822" s="621" t="s">
        <v>1680</v>
      </c>
      <c r="T822" s="619" t="s">
        <v>1021</v>
      </c>
    </row>
    <row r="823" spans="1:20">
      <c r="A823" s="630">
        <v>4421520</v>
      </c>
      <c r="B823" s="628"/>
      <c r="C823" s="623"/>
      <c r="D823" s="623"/>
      <c r="E823" s="627" t="s">
        <v>1116</v>
      </c>
      <c r="F823" s="631" t="s">
        <v>1688</v>
      </c>
      <c r="G823" s="661">
        <v>442</v>
      </c>
      <c r="H823" s="633">
        <v>1520</v>
      </c>
      <c r="I823" s="618"/>
      <c r="J823" s="619" t="s">
        <v>1116</v>
      </c>
      <c r="K823" s="618"/>
      <c r="L823" s="619">
        <v>106</v>
      </c>
      <c r="M823" s="620">
        <v>101</v>
      </c>
      <c r="N823" s="619"/>
      <c r="O823" s="619">
        <v>11</v>
      </c>
      <c r="P823" s="619" t="s">
        <v>760</v>
      </c>
      <c r="Q823" s="662"/>
      <c r="R823" s="618"/>
      <c r="S823" s="621" t="s">
        <v>1680</v>
      </c>
      <c r="T823" s="619" t="s">
        <v>1023</v>
      </c>
    </row>
    <row r="824" spans="1:20">
      <c r="A824" s="630">
        <v>4001520</v>
      </c>
      <c r="B824" s="628"/>
      <c r="C824" s="623"/>
      <c r="D824" s="623"/>
      <c r="E824" s="627" t="s">
        <v>1118</v>
      </c>
      <c r="F824" s="631" t="s">
        <v>1689</v>
      </c>
      <c r="G824" s="661">
        <v>400</v>
      </c>
      <c r="H824" s="633">
        <v>1520</v>
      </c>
      <c r="I824" s="618"/>
      <c r="J824" s="619" t="s">
        <v>1118</v>
      </c>
      <c r="K824" s="618"/>
      <c r="L824" s="619">
        <v>108</v>
      </c>
      <c r="M824" s="620">
        <v>103</v>
      </c>
      <c r="N824" s="619"/>
      <c r="O824" s="619">
        <v>11</v>
      </c>
      <c r="P824" s="619" t="s">
        <v>760</v>
      </c>
      <c r="Q824" s="662"/>
      <c r="R824" s="618"/>
      <c r="S824" s="621" t="s">
        <v>1680</v>
      </c>
      <c r="T824" s="619" t="s">
        <v>1025</v>
      </c>
    </row>
    <row r="825" spans="1:20">
      <c r="A825" s="622"/>
      <c r="B825" s="628"/>
      <c r="C825" s="623"/>
      <c r="D825" s="623" t="s">
        <v>803</v>
      </c>
      <c r="E825" s="627" t="s">
        <v>252</v>
      </c>
      <c r="F825" s="626"/>
      <c r="G825" s="623"/>
      <c r="H825" s="627"/>
      <c r="I825" s="618"/>
      <c r="J825" s="618"/>
      <c r="K825" s="618"/>
      <c r="L825" s="618"/>
      <c r="M825" s="618"/>
      <c r="N825" s="618"/>
      <c r="O825" s="618"/>
      <c r="P825" s="618"/>
      <c r="Q825" s="662"/>
      <c r="R825" s="618"/>
      <c r="S825" s="621"/>
      <c r="T825" s="618"/>
    </row>
    <row r="826" spans="1:20">
      <c r="A826" s="622"/>
      <c r="B826" s="628"/>
      <c r="C826" s="623"/>
      <c r="D826" s="623"/>
      <c r="E826" s="627" t="s">
        <v>1120</v>
      </c>
      <c r="F826" s="626"/>
      <c r="G826" s="623"/>
      <c r="H826" s="627"/>
      <c r="I826" s="618"/>
      <c r="J826" s="618"/>
      <c r="K826" s="618"/>
      <c r="L826" s="618"/>
      <c r="M826" s="618"/>
      <c r="N826" s="618"/>
      <c r="O826" s="618"/>
      <c r="P826" s="618"/>
      <c r="Q826" s="662"/>
      <c r="R826" s="618"/>
      <c r="S826" s="621"/>
      <c r="T826" s="618"/>
    </row>
    <row r="827" spans="1:20">
      <c r="A827" s="630">
        <v>5611520</v>
      </c>
      <c r="B827" s="628"/>
      <c r="C827" s="623"/>
      <c r="D827" s="623"/>
      <c r="E827" s="627" t="s">
        <v>1121</v>
      </c>
      <c r="F827" s="631" t="s">
        <v>1690</v>
      </c>
      <c r="G827" s="661">
        <v>561</v>
      </c>
      <c r="H827" s="633">
        <v>1520</v>
      </c>
      <c r="I827" s="618"/>
      <c r="J827" s="619" t="s">
        <v>1121</v>
      </c>
      <c r="K827" s="618"/>
      <c r="L827" s="619">
        <v>119</v>
      </c>
      <c r="M827" s="620">
        <v>110</v>
      </c>
      <c r="N827" s="619"/>
      <c r="O827" s="619">
        <v>11</v>
      </c>
      <c r="P827" s="619" t="s">
        <v>760</v>
      </c>
      <c r="Q827" s="662"/>
      <c r="R827" s="618"/>
      <c r="S827" s="621" t="s">
        <v>1680</v>
      </c>
      <c r="T827" s="619" t="s">
        <v>1030</v>
      </c>
    </row>
    <row r="828" spans="1:20">
      <c r="A828" s="630">
        <v>5621520</v>
      </c>
      <c r="B828" s="628"/>
      <c r="C828" s="623"/>
      <c r="D828" s="623"/>
      <c r="E828" s="627" t="s">
        <v>1123</v>
      </c>
      <c r="F828" s="631" t="s">
        <v>1691</v>
      </c>
      <c r="G828" s="661">
        <v>562</v>
      </c>
      <c r="H828" s="633">
        <v>1520</v>
      </c>
      <c r="I828" s="618"/>
      <c r="J828" s="619" t="s">
        <v>1123</v>
      </c>
      <c r="K828" s="618"/>
      <c r="L828" s="619">
        <v>119</v>
      </c>
      <c r="M828" s="620">
        <v>110</v>
      </c>
      <c r="N828" s="619"/>
      <c r="O828" s="619">
        <v>11</v>
      </c>
      <c r="P828" s="619" t="s">
        <v>760</v>
      </c>
      <c r="Q828" s="662"/>
      <c r="R828" s="618"/>
      <c r="S828" s="621" t="s">
        <v>1680</v>
      </c>
      <c r="T828" s="619" t="s">
        <v>1033</v>
      </c>
    </row>
    <row r="829" spans="1:20">
      <c r="A829" s="630">
        <v>5631520</v>
      </c>
      <c r="B829" s="628"/>
      <c r="C829" s="623"/>
      <c r="D829" s="623"/>
      <c r="E829" s="627" t="s">
        <v>1304</v>
      </c>
      <c r="F829" s="631" t="s">
        <v>1692</v>
      </c>
      <c r="G829" s="661">
        <v>563</v>
      </c>
      <c r="H829" s="633">
        <v>1520</v>
      </c>
      <c r="I829" s="618"/>
      <c r="J829" s="619" t="s">
        <v>1304</v>
      </c>
      <c r="K829" s="618"/>
      <c r="L829" s="619">
        <v>119</v>
      </c>
      <c r="M829" s="620">
        <v>110</v>
      </c>
      <c r="N829" s="619"/>
      <c r="O829" s="619">
        <v>11</v>
      </c>
      <c r="P829" s="619" t="s">
        <v>760</v>
      </c>
      <c r="Q829" s="662"/>
      <c r="R829" s="618"/>
      <c r="S829" s="621" t="s">
        <v>1680</v>
      </c>
      <c r="T829" s="619" t="s">
        <v>1036</v>
      </c>
    </row>
    <row r="830" spans="1:20">
      <c r="A830" s="630">
        <v>5821520</v>
      </c>
      <c r="B830" s="628"/>
      <c r="C830" s="623"/>
      <c r="D830" s="623"/>
      <c r="E830" s="627" t="s">
        <v>1134</v>
      </c>
      <c r="F830" s="631" t="s">
        <v>1693</v>
      </c>
      <c r="G830" s="661">
        <v>582</v>
      </c>
      <c r="H830" s="633">
        <v>1520</v>
      </c>
      <c r="I830" s="618"/>
      <c r="J830" s="619" t="s">
        <v>1134</v>
      </c>
      <c r="K830" s="618"/>
      <c r="L830" s="619">
        <v>118</v>
      </c>
      <c r="M830" s="620">
        <v>109</v>
      </c>
      <c r="N830" s="619"/>
      <c r="O830" s="619">
        <v>11</v>
      </c>
      <c r="P830" s="619" t="s">
        <v>760</v>
      </c>
      <c r="Q830" s="662"/>
      <c r="R830" s="618"/>
      <c r="S830" s="621" t="s">
        <v>1680</v>
      </c>
      <c r="T830" s="619" t="s">
        <v>1037</v>
      </c>
    </row>
    <row r="831" spans="1:20">
      <c r="A831" s="630">
        <v>5001520</v>
      </c>
      <c r="B831" s="628"/>
      <c r="C831" s="623"/>
      <c r="D831" s="623"/>
      <c r="E831" s="627" t="s">
        <v>1136</v>
      </c>
      <c r="F831" s="631" t="s">
        <v>1694</v>
      </c>
      <c r="G831" s="661">
        <v>500</v>
      </c>
      <c r="H831" s="633">
        <v>1520</v>
      </c>
      <c r="I831" s="618"/>
      <c r="J831" s="619" t="s">
        <v>1136</v>
      </c>
      <c r="K831" s="618"/>
      <c r="L831" s="619">
        <v>119</v>
      </c>
      <c r="M831" s="620">
        <v>110</v>
      </c>
      <c r="N831" s="619"/>
      <c r="O831" s="619">
        <v>11</v>
      </c>
      <c r="P831" s="619" t="s">
        <v>760</v>
      </c>
      <c r="Q831" s="662"/>
      <c r="R831" s="618"/>
      <c r="S831" s="621" t="s">
        <v>1680</v>
      </c>
      <c r="T831" s="619" t="s">
        <v>252</v>
      </c>
    </row>
    <row r="832" spans="1:20">
      <c r="A832" s="622"/>
      <c r="B832" s="628"/>
      <c r="C832" s="623"/>
      <c r="D832" s="623" t="s">
        <v>848</v>
      </c>
      <c r="E832" s="627" t="s">
        <v>1040</v>
      </c>
      <c r="F832" s="626"/>
      <c r="G832" s="623"/>
      <c r="H832" s="627"/>
      <c r="I832" s="618"/>
      <c r="J832" s="618"/>
      <c r="K832" s="618"/>
      <c r="L832" s="618"/>
      <c r="M832" s="618"/>
      <c r="N832" s="618"/>
      <c r="O832" s="618"/>
      <c r="P832" s="618"/>
      <c r="Q832" s="662"/>
      <c r="R832" s="618"/>
      <c r="S832" s="621"/>
      <c r="T832" s="618"/>
    </row>
    <row r="833" spans="1:20">
      <c r="A833" s="630">
        <v>6151520</v>
      </c>
      <c r="B833" s="628"/>
      <c r="C833" s="623"/>
      <c r="D833" s="623"/>
      <c r="E833" s="627" t="s">
        <v>1138</v>
      </c>
      <c r="F833" s="631" t="s">
        <v>1695</v>
      </c>
      <c r="G833" s="661">
        <v>615</v>
      </c>
      <c r="H833" s="633">
        <v>1520</v>
      </c>
      <c r="I833" s="618"/>
      <c r="J833" s="619" t="s">
        <v>1138</v>
      </c>
      <c r="K833" s="618"/>
      <c r="L833" s="619">
        <v>126</v>
      </c>
      <c r="M833" s="620">
        <v>117</v>
      </c>
      <c r="N833" s="619"/>
      <c r="O833" s="619">
        <v>11</v>
      </c>
      <c r="P833" s="619" t="s">
        <v>760</v>
      </c>
      <c r="Q833" s="662" t="s">
        <v>1043</v>
      </c>
      <c r="R833" s="618"/>
      <c r="S833" s="621" t="s">
        <v>1680</v>
      </c>
      <c r="T833" s="619" t="s">
        <v>1041</v>
      </c>
    </row>
    <row r="834" spans="1:20">
      <c r="A834" s="630">
        <v>6101520</v>
      </c>
      <c r="B834" s="628"/>
      <c r="C834" s="623"/>
      <c r="D834" s="623"/>
      <c r="E834" s="627" t="s">
        <v>1140</v>
      </c>
      <c r="F834" s="631" t="s">
        <v>1696</v>
      </c>
      <c r="G834" s="661">
        <v>610</v>
      </c>
      <c r="H834" s="633">
        <v>1520</v>
      </c>
      <c r="I834" s="618"/>
      <c r="J834" s="619" t="s">
        <v>1140</v>
      </c>
      <c r="K834" s="618"/>
      <c r="L834" s="619">
        <v>122</v>
      </c>
      <c r="M834" s="620">
        <v>113</v>
      </c>
      <c r="N834" s="619"/>
      <c r="O834" s="619">
        <v>11</v>
      </c>
      <c r="P834" s="619" t="s">
        <v>760</v>
      </c>
      <c r="Q834" s="662" t="s">
        <v>1043</v>
      </c>
      <c r="R834" s="618"/>
      <c r="S834" s="621" t="s">
        <v>1680</v>
      </c>
      <c r="T834" s="619" t="s">
        <v>39</v>
      </c>
    </row>
    <row r="835" spans="1:20">
      <c r="A835" s="630">
        <v>6421520</v>
      </c>
      <c r="B835" s="628"/>
      <c r="C835" s="623"/>
      <c r="D835" s="623"/>
      <c r="E835" s="627" t="s">
        <v>1142</v>
      </c>
      <c r="F835" s="631" t="s">
        <v>1697</v>
      </c>
      <c r="G835" s="661">
        <v>642</v>
      </c>
      <c r="H835" s="633">
        <v>1520</v>
      </c>
      <c r="I835" s="618"/>
      <c r="J835" s="619" t="s">
        <v>1142</v>
      </c>
      <c r="K835" s="618"/>
      <c r="L835" s="619">
        <v>125</v>
      </c>
      <c r="M835" s="620">
        <v>116</v>
      </c>
      <c r="N835" s="619"/>
      <c r="O835" s="619">
        <v>11</v>
      </c>
      <c r="P835" s="619" t="s">
        <v>760</v>
      </c>
      <c r="Q835" s="662" t="s">
        <v>1043</v>
      </c>
      <c r="R835" s="618"/>
      <c r="S835" s="621" t="s">
        <v>1680</v>
      </c>
      <c r="T835" s="619" t="s">
        <v>1046</v>
      </c>
    </row>
    <row r="836" spans="1:20">
      <c r="A836" s="630">
        <v>6001520</v>
      </c>
      <c r="B836" s="628"/>
      <c r="C836" s="623"/>
      <c r="D836" s="623"/>
      <c r="E836" s="627" t="s">
        <v>1144</v>
      </c>
      <c r="F836" s="631" t="s">
        <v>1698</v>
      </c>
      <c r="G836" s="661">
        <v>600</v>
      </c>
      <c r="H836" s="633">
        <v>1520</v>
      </c>
      <c r="I836" s="618"/>
      <c r="J836" s="619" t="s">
        <v>1144</v>
      </c>
      <c r="K836" s="618"/>
      <c r="L836" s="619">
        <v>126</v>
      </c>
      <c r="M836" s="620">
        <v>117</v>
      </c>
      <c r="N836" s="619"/>
      <c r="O836" s="619">
        <v>11</v>
      </c>
      <c r="P836" s="619" t="s">
        <v>760</v>
      </c>
      <c r="Q836" s="662"/>
      <c r="R836" s="618"/>
      <c r="S836" s="621" t="s">
        <v>1680</v>
      </c>
      <c r="T836" s="619" t="s">
        <v>1048</v>
      </c>
    </row>
    <row r="837" spans="1:20">
      <c r="A837" s="622"/>
      <c r="B837" s="628"/>
      <c r="C837" s="623"/>
      <c r="D837" s="623" t="s">
        <v>851</v>
      </c>
      <c r="E837" s="627" t="s">
        <v>1050</v>
      </c>
      <c r="F837" s="626"/>
      <c r="G837" s="623"/>
      <c r="H837" s="627"/>
      <c r="I837" s="618"/>
      <c r="J837" s="618"/>
      <c r="K837" s="618"/>
      <c r="L837" s="618"/>
      <c r="M837" s="618"/>
      <c r="N837" s="618"/>
      <c r="O837" s="618"/>
      <c r="P837" s="618"/>
      <c r="Q837" s="662"/>
      <c r="R837" s="618"/>
      <c r="S837" s="621"/>
      <c r="T837" s="618"/>
    </row>
    <row r="838" spans="1:20">
      <c r="A838" s="630">
        <v>7341520</v>
      </c>
      <c r="B838" s="628"/>
      <c r="C838" s="623"/>
      <c r="D838" s="623"/>
      <c r="E838" s="627" t="s">
        <v>1146</v>
      </c>
      <c r="F838" s="631" t="s">
        <v>1699</v>
      </c>
      <c r="G838" s="661">
        <v>734</v>
      </c>
      <c r="H838" s="633">
        <v>1520</v>
      </c>
      <c r="I838" s="618"/>
      <c r="J838" s="619" t="s">
        <v>1146</v>
      </c>
      <c r="K838" s="618"/>
      <c r="L838" s="619">
        <v>131</v>
      </c>
      <c r="M838" s="620">
        <v>122</v>
      </c>
      <c r="N838" s="619"/>
      <c r="O838" s="619">
        <v>11</v>
      </c>
      <c r="P838" s="619" t="s">
        <v>760</v>
      </c>
      <c r="Q838" s="662"/>
      <c r="R838" s="618"/>
      <c r="S838" s="621" t="s">
        <v>1680</v>
      </c>
      <c r="T838" s="619" t="s">
        <v>1051</v>
      </c>
    </row>
    <row r="839" spans="1:20">
      <c r="A839" s="630">
        <v>7351520</v>
      </c>
      <c r="B839" s="628"/>
      <c r="C839" s="623"/>
      <c r="D839" s="623"/>
      <c r="E839" s="627" t="s">
        <v>1148</v>
      </c>
      <c r="F839" s="631" t="s">
        <v>1700</v>
      </c>
      <c r="G839" s="661">
        <v>735</v>
      </c>
      <c r="H839" s="633">
        <v>1520</v>
      </c>
      <c r="I839" s="618"/>
      <c r="J839" s="619" t="s">
        <v>1148</v>
      </c>
      <c r="K839" s="618"/>
      <c r="L839" s="619">
        <v>131</v>
      </c>
      <c r="M839" s="620">
        <v>122</v>
      </c>
      <c r="N839" s="619"/>
      <c r="O839" s="619">
        <v>11</v>
      </c>
      <c r="P839" s="619" t="s">
        <v>760</v>
      </c>
      <c r="Q839" s="662"/>
      <c r="R839" s="618"/>
      <c r="S839" s="621" t="s">
        <v>1680</v>
      </c>
      <c r="T839" s="619" t="s">
        <v>1053</v>
      </c>
    </row>
    <row r="840" spans="1:20">
      <c r="A840" s="630">
        <v>7301520</v>
      </c>
      <c r="B840" s="628"/>
      <c r="C840" s="623"/>
      <c r="D840" s="623"/>
      <c r="E840" s="627" t="s">
        <v>1150</v>
      </c>
      <c r="F840" s="631" t="s">
        <v>1701</v>
      </c>
      <c r="G840" s="661">
        <v>730</v>
      </c>
      <c r="H840" s="633">
        <v>1520</v>
      </c>
      <c r="I840" s="618"/>
      <c r="J840" s="619" t="s">
        <v>1150</v>
      </c>
      <c r="K840" s="618"/>
      <c r="L840" s="619">
        <v>131</v>
      </c>
      <c r="M840" s="620">
        <v>122</v>
      </c>
      <c r="N840" s="619"/>
      <c r="O840" s="619">
        <v>11</v>
      </c>
      <c r="P840" s="619" t="s">
        <v>760</v>
      </c>
      <c r="Q840" s="662"/>
      <c r="R840" s="618"/>
      <c r="S840" s="621" t="s">
        <v>1680</v>
      </c>
      <c r="T840" s="619" t="s">
        <v>1055</v>
      </c>
    </row>
    <row r="841" spans="1:20">
      <c r="A841" s="630">
        <v>7001520</v>
      </c>
      <c r="B841" s="628"/>
      <c r="C841" s="623"/>
      <c r="D841" s="623"/>
      <c r="E841" s="627" t="s">
        <v>1152</v>
      </c>
      <c r="F841" s="631" t="s">
        <v>1702</v>
      </c>
      <c r="G841" s="661">
        <v>700</v>
      </c>
      <c r="H841" s="633">
        <v>1520</v>
      </c>
      <c r="I841" s="618"/>
      <c r="J841" s="619" t="s">
        <v>1152</v>
      </c>
      <c r="K841" s="618"/>
      <c r="L841" s="619">
        <v>132</v>
      </c>
      <c r="M841" s="620">
        <v>123</v>
      </c>
      <c r="N841" s="619"/>
      <c r="O841" s="619">
        <v>11</v>
      </c>
      <c r="P841" s="619" t="s">
        <v>760</v>
      </c>
      <c r="Q841" s="662"/>
      <c r="R841" s="618"/>
      <c r="S841" s="621" t="s">
        <v>1680</v>
      </c>
      <c r="T841" s="619" t="s">
        <v>1057</v>
      </c>
    </row>
    <row r="842" spans="1:20">
      <c r="A842" s="622"/>
      <c r="B842" s="628"/>
      <c r="C842" s="623"/>
      <c r="D842" s="623" t="s">
        <v>854</v>
      </c>
      <c r="E842" s="627" t="s">
        <v>256</v>
      </c>
      <c r="F842" s="626"/>
      <c r="G842" s="623"/>
      <c r="H842" s="627"/>
      <c r="I842" s="618"/>
      <c r="J842" s="618"/>
      <c r="K842" s="618"/>
      <c r="L842" s="618"/>
      <c r="M842" s="618"/>
      <c r="N842" s="618"/>
      <c r="O842" s="618"/>
      <c r="P842" s="618"/>
      <c r="Q842" s="662"/>
      <c r="R842" s="618"/>
      <c r="S842" s="621"/>
      <c r="T842" s="618"/>
    </row>
    <row r="843" spans="1:20">
      <c r="A843" s="630">
        <v>8951520</v>
      </c>
      <c r="B843" s="628"/>
      <c r="C843" s="623"/>
      <c r="D843" s="623"/>
      <c r="E843" s="627" t="s">
        <v>1154</v>
      </c>
      <c r="F843" s="634" t="s">
        <v>1703</v>
      </c>
      <c r="G843" s="629">
        <v>895</v>
      </c>
      <c r="H843" s="635">
        <v>1520</v>
      </c>
      <c r="I843" s="618"/>
      <c r="J843" s="619" t="s">
        <v>1154</v>
      </c>
      <c r="K843" s="618"/>
      <c r="L843" s="619">
        <v>139</v>
      </c>
      <c r="M843" s="620">
        <v>129</v>
      </c>
      <c r="N843" s="619"/>
      <c r="O843" s="619">
        <v>11</v>
      </c>
      <c r="P843" s="619" t="s">
        <v>760</v>
      </c>
      <c r="Q843" s="662"/>
      <c r="R843" s="618"/>
      <c r="S843" s="621" t="s">
        <v>1680</v>
      </c>
      <c r="T843" s="619" t="s">
        <v>1059</v>
      </c>
    </row>
    <row r="844" spans="1:20">
      <c r="A844" s="630">
        <v>8001520</v>
      </c>
      <c r="B844" s="628"/>
      <c r="C844" s="623"/>
      <c r="D844" s="623"/>
      <c r="E844" s="627" t="s">
        <v>1156</v>
      </c>
      <c r="F844" s="634" t="s">
        <v>1704</v>
      </c>
      <c r="G844" s="629">
        <v>800</v>
      </c>
      <c r="H844" s="635">
        <v>1520</v>
      </c>
      <c r="I844" s="618"/>
      <c r="J844" s="619" t="s">
        <v>1156</v>
      </c>
      <c r="K844" s="618"/>
      <c r="L844" s="619">
        <v>139</v>
      </c>
      <c r="M844" s="620">
        <v>129</v>
      </c>
      <c r="N844" s="619"/>
      <c r="O844" s="619">
        <v>11</v>
      </c>
      <c r="P844" s="619" t="s">
        <v>760</v>
      </c>
      <c r="Q844" s="662"/>
      <c r="R844" s="618"/>
      <c r="S844" s="621" t="s">
        <v>1680</v>
      </c>
      <c r="T844" s="619" t="s">
        <v>1061</v>
      </c>
    </row>
    <row r="845" spans="1:20">
      <c r="A845" s="622"/>
      <c r="B845" s="628"/>
      <c r="C845" s="623"/>
      <c r="D845" s="623" t="s">
        <v>857</v>
      </c>
      <c r="E845" s="627" t="s">
        <v>1063</v>
      </c>
      <c r="F845" s="626"/>
      <c r="G845" s="623"/>
      <c r="H845" s="627"/>
      <c r="I845" s="618"/>
      <c r="J845" s="618"/>
      <c r="K845" s="618"/>
      <c r="L845" s="618"/>
      <c r="M845" s="618"/>
      <c r="N845" s="618"/>
      <c r="O845" s="618"/>
      <c r="P845" s="618"/>
      <c r="Q845" s="662"/>
      <c r="R845" s="618"/>
      <c r="S845" s="621"/>
      <c r="T845" s="618"/>
    </row>
    <row r="846" spans="1:20">
      <c r="A846" s="630">
        <v>2101520</v>
      </c>
      <c r="B846" s="628"/>
      <c r="C846" s="623"/>
      <c r="D846" s="623"/>
      <c r="E846" s="627" t="s">
        <v>1158</v>
      </c>
      <c r="F846" s="634" t="s">
        <v>1705</v>
      </c>
      <c r="G846" s="629">
        <v>210</v>
      </c>
      <c r="H846" s="635">
        <v>1520</v>
      </c>
      <c r="I846" s="618"/>
      <c r="J846" s="619" t="s">
        <v>1158</v>
      </c>
      <c r="K846" s="618"/>
      <c r="L846" s="619">
        <v>89</v>
      </c>
      <c r="M846" s="620">
        <v>84</v>
      </c>
      <c r="N846" s="619"/>
      <c r="O846" s="619">
        <v>11</v>
      </c>
      <c r="P846" s="619" t="s">
        <v>760</v>
      </c>
      <c r="Q846" s="662" t="s">
        <v>1002</v>
      </c>
      <c r="R846" s="618"/>
      <c r="S846" s="621" t="s">
        <v>1680</v>
      </c>
      <c r="T846" s="619" t="s">
        <v>1064</v>
      </c>
    </row>
    <row r="847" spans="1:20">
      <c r="A847" s="630">
        <v>2201520</v>
      </c>
      <c r="B847" s="628"/>
      <c r="C847" s="623"/>
      <c r="D847" s="623"/>
      <c r="E847" s="627" t="s">
        <v>1160</v>
      </c>
      <c r="F847" s="634" t="s">
        <v>1706</v>
      </c>
      <c r="G847" s="629">
        <v>220</v>
      </c>
      <c r="H847" s="635">
        <v>1520</v>
      </c>
      <c r="I847" s="618"/>
      <c r="J847" s="619" t="s">
        <v>1160</v>
      </c>
      <c r="K847" s="618"/>
      <c r="L847" s="619">
        <v>90</v>
      </c>
      <c r="M847" s="620">
        <v>85</v>
      </c>
      <c r="N847" s="619"/>
      <c r="O847" s="619">
        <v>11</v>
      </c>
      <c r="P847" s="619" t="s">
        <v>760</v>
      </c>
      <c r="Q847" s="662" t="s">
        <v>1002</v>
      </c>
      <c r="R847" s="618"/>
      <c r="S847" s="621" t="s">
        <v>1680</v>
      </c>
      <c r="T847" s="619" t="s">
        <v>1066</v>
      </c>
    </row>
    <row r="848" spans="1:20">
      <c r="A848" s="630">
        <v>2251520</v>
      </c>
      <c r="B848" s="628"/>
      <c r="C848" s="623"/>
      <c r="D848" s="623"/>
      <c r="E848" s="627" t="s">
        <v>1162</v>
      </c>
      <c r="F848" s="634" t="s">
        <v>1707</v>
      </c>
      <c r="G848" s="629">
        <v>225</v>
      </c>
      <c r="H848" s="635">
        <v>1520</v>
      </c>
      <c r="I848" s="618"/>
      <c r="J848" s="619" t="s">
        <v>1162</v>
      </c>
      <c r="K848" s="618"/>
      <c r="L848" s="619">
        <v>91</v>
      </c>
      <c r="M848" s="620">
        <v>86</v>
      </c>
      <c r="N848" s="619"/>
      <c r="O848" s="619">
        <v>11</v>
      </c>
      <c r="P848" s="619" t="s">
        <v>760</v>
      </c>
      <c r="Q848" s="662" t="s">
        <v>1002</v>
      </c>
      <c r="R848" s="618"/>
      <c r="S848" s="621" t="s">
        <v>1680</v>
      </c>
      <c r="T848" s="619" t="s">
        <v>23</v>
      </c>
    </row>
    <row r="849" spans="1:20">
      <c r="A849" s="622"/>
      <c r="B849" s="628"/>
      <c r="C849" s="623"/>
      <c r="D849" s="623"/>
      <c r="E849" s="627" t="s">
        <v>1164</v>
      </c>
      <c r="F849" s="626"/>
      <c r="G849" s="623"/>
      <c r="H849" s="627"/>
      <c r="I849" s="618"/>
      <c r="J849" s="618"/>
      <c r="K849" s="618"/>
      <c r="L849" s="618"/>
      <c r="M849" s="618"/>
      <c r="N849" s="618"/>
      <c r="O849" s="618"/>
      <c r="P849" s="618"/>
      <c r="Q849" s="662"/>
      <c r="R849" s="618"/>
      <c r="S849" s="621"/>
      <c r="T849" s="618"/>
    </row>
    <row r="850" spans="1:20">
      <c r="A850" s="630">
        <v>2311520</v>
      </c>
      <c r="B850" s="628"/>
      <c r="C850" s="623"/>
      <c r="D850" s="623"/>
      <c r="E850" s="627" t="s">
        <v>1165</v>
      </c>
      <c r="F850" s="634" t="s">
        <v>1708</v>
      </c>
      <c r="G850" s="629">
        <v>231</v>
      </c>
      <c r="H850" s="635">
        <v>1520</v>
      </c>
      <c r="I850" s="618"/>
      <c r="J850" s="619" t="s">
        <v>1165</v>
      </c>
      <c r="K850" s="618"/>
      <c r="L850" s="619">
        <v>92</v>
      </c>
      <c r="M850" s="620">
        <v>87</v>
      </c>
      <c r="N850" s="619"/>
      <c r="O850" s="619">
        <v>11</v>
      </c>
      <c r="P850" s="619" t="s">
        <v>760</v>
      </c>
      <c r="Q850" s="662" t="s">
        <v>1002</v>
      </c>
      <c r="R850" s="618"/>
      <c r="S850" s="621" t="s">
        <v>1680</v>
      </c>
      <c r="T850" s="619" t="s">
        <v>1072</v>
      </c>
    </row>
    <row r="851" spans="1:20">
      <c r="A851" s="630">
        <v>2331520</v>
      </c>
      <c r="B851" s="628"/>
      <c r="C851" s="623"/>
      <c r="D851" s="623"/>
      <c r="E851" s="627" t="s">
        <v>1167</v>
      </c>
      <c r="F851" s="634" t="s">
        <v>1709</v>
      </c>
      <c r="G851" s="629">
        <v>233</v>
      </c>
      <c r="H851" s="635">
        <v>1520</v>
      </c>
      <c r="I851" s="618"/>
      <c r="J851" s="619" t="s">
        <v>1167</v>
      </c>
      <c r="K851" s="618"/>
      <c r="L851" s="619">
        <v>92</v>
      </c>
      <c r="M851" s="620">
        <v>87</v>
      </c>
      <c r="N851" s="619"/>
      <c r="O851" s="619">
        <v>11</v>
      </c>
      <c r="P851" s="619" t="s">
        <v>760</v>
      </c>
      <c r="Q851" s="662" t="s">
        <v>1002</v>
      </c>
      <c r="R851" s="618"/>
      <c r="S851" s="621" t="s">
        <v>1680</v>
      </c>
      <c r="T851" s="619" t="s">
        <v>1169</v>
      </c>
    </row>
    <row r="852" spans="1:20">
      <c r="A852" s="630">
        <v>2391520</v>
      </c>
      <c r="B852" s="670"/>
      <c r="C852" s="632"/>
      <c r="D852" s="632"/>
      <c r="E852" s="637" t="s">
        <v>1170</v>
      </c>
      <c r="F852" s="631" t="s">
        <v>1710</v>
      </c>
      <c r="G852" s="661">
        <v>239</v>
      </c>
      <c r="H852" s="633">
        <v>1520</v>
      </c>
      <c r="I852" s="618"/>
      <c r="J852" s="619" t="s">
        <v>1170</v>
      </c>
      <c r="K852" s="618"/>
      <c r="L852" s="619">
        <v>92</v>
      </c>
      <c r="M852" s="620">
        <v>87</v>
      </c>
      <c r="N852" s="619"/>
      <c r="O852" s="619">
        <v>11</v>
      </c>
      <c r="P852" s="619" t="s">
        <v>760</v>
      </c>
      <c r="Q852" s="662" t="s">
        <v>1002</v>
      </c>
      <c r="R852" s="618"/>
      <c r="S852" s="621" t="s">
        <v>1680</v>
      </c>
      <c r="T852" s="619" t="s">
        <v>1078</v>
      </c>
    </row>
    <row r="853" spans="1:20">
      <c r="A853" s="630">
        <v>2501520</v>
      </c>
      <c r="B853" s="628"/>
      <c r="C853" s="623"/>
      <c r="D853" s="623"/>
      <c r="E853" s="627" t="s">
        <v>1172</v>
      </c>
      <c r="F853" s="634" t="s">
        <v>1711</v>
      </c>
      <c r="G853" s="629">
        <v>250</v>
      </c>
      <c r="H853" s="635">
        <v>1520</v>
      </c>
      <c r="I853" s="618"/>
      <c r="J853" s="619" t="s">
        <v>1172</v>
      </c>
      <c r="K853" s="618"/>
      <c r="L853" s="619">
        <v>93</v>
      </c>
      <c r="M853" s="620">
        <v>88</v>
      </c>
      <c r="N853" s="619"/>
      <c r="O853" s="619">
        <v>11</v>
      </c>
      <c r="P853" s="619" t="s">
        <v>760</v>
      </c>
      <c r="Q853" s="662" t="s">
        <v>1002</v>
      </c>
      <c r="R853" s="618"/>
      <c r="S853" s="621" t="s">
        <v>1680</v>
      </c>
      <c r="T853" s="619" t="s">
        <v>1079</v>
      </c>
    </row>
    <row r="854" spans="1:20">
      <c r="A854" s="630">
        <v>2601520</v>
      </c>
      <c r="B854" s="628"/>
      <c r="C854" s="623"/>
      <c r="D854" s="623"/>
      <c r="E854" s="627" t="s">
        <v>1174</v>
      </c>
      <c r="F854" s="634" t="s">
        <v>1712</v>
      </c>
      <c r="G854" s="629">
        <v>260</v>
      </c>
      <c r="H854" s="635">
        <v>1520</v>
      </c>
      <c r="I854" s="618"/>
      <c r="J854" s="619" t="s">
        <v>1174</v>
      </c>
      <c r="K854" s="618"/>
      <c r="L854" s="619">
        <v>95</v>
      </c>
      <c r="M854" s="620">
        <v>90</v>
      </c>
      <c r="N854" s="619"/>
      <c r="O854" s="619">
        <v>11</v>
      </c>
      <c r="P854" s="619" t="s">
        <v>760</v>
      </c>
      <c r="Q854" s="662" t="s">
        <v>1002</v>
      </c>
      <c r="R854" s="618"/>
      <c r="S854" s="621" t="s">
        <v>1680</v>
      </c>
      <c r="T854" s="619" t="s">
        <v>1081</v>
      </c>
    </row>
    <row r="855" spans="1:20">
      <c r="A855" s="630">
        <v>2701520</v>
      </c>
      <c r="B855" s="628"/>
      <c r="C855" s="623"/>
      <c r="D855" s="623"/>
      <c r="E855" s="627" t="s">
        <v>1176</v>
      </c>
      <c r="F855" s="634" t="s">
        <v>1713</v>
      </c>
      <c r="G855" s="629">
        <v>270</v>
      </c>
      <c r="H855" s="635">
        <v>1520</v>
      </c>
      <c r="I855" s="618"/>
      <c r="J855" s="619" t="s">
        <v>1176</v>
      </c>
      <c r="K855" s="618"/>
      <c r="L855" s="619">
        <v>94</v>
      </c>
      <c r="M855" s="620">
        <v>89</v>
      </c>
      <c r="N855" s="619"/>
      <c r="O855" s="619">
        <v>11</v>
      </c>
      <c r="P855" s="619" t="s">
        <v>760</v>
      </c>
      <c r="Q855" s="662" t="s">
        <v>1002</v>
      </c>
      <c r="R855" s="618"/>
      <c r="S855" s="621" t="s">
        <v>1680</v>
      </c>
      <c r="T855" s="619" t="s">
        <v>1083</v>
      </c>
    </row>
    <row r="856" spans="1:20">
      <c r="A856" s="630">
        <v>2811520</v>
      </c>
      <c r="B856" s="628"/>
      <c r="C856" s="623"/>
      <c r="D856" s="623"/>
      <c r="E856" s="627" t="s">
        <v>1178</v>
      </c>
      <c r="F856" s="634" t="s">
        <v>1714</v>
      </c>
      <c r="G856" s="629">
        <v>281</v>
      </c>
      <c r="H856" s="635">
        <v>1520</v>
      </c>
      <c r="I856" s="618"/>
      <c r="J856" s="619" t="s">
        <v>1178</v>
      </c>
      <c r="K856" s="618"/>
      <c r="L856" s="619">
        <v>95</v>
      </c>
      <c r="M856" s="620">
        <v>90</v>
      </c>
      <c r="N856" s="619"/>
      <c r="O856" s="619">
        <v>11</v>
      </c>
      <c r="P856" s="619" t="s">
        <v>760</v>
      </c>
      <c r="Q856" s="662" t="s">
        <v>1002</v>
      </c>
      <c r="R856" s="618"/>
      <c r="S856" s="621" t="s">
        <v>1680</v>
      </c>
      <c r="T856" s="619" t="s">
        <v>1085</v>
      </c>
    </row>
    <row r="857" spans="1:20">
      <c r="A857" s="630">
        <v>2821520</v>
      </c>
      <c r="B857" s="628"/>
      <c r="C857" s="623"/>
      <c r="D857" s="623"/>
      <c r="E857" s="627" t="s">
        <v>1180</v>
      </c>
      <c r="F857" s="634" t="s">
        <v>1715</v>
      </c>
      <c r="G857" s="629">
        <v>282</v>
      </c>
      <c r="H857" s="635">
        <v>1520</v>
      </c>
      <c r="I857" s="618"/>
      <c r="J857" s="619" t="s">
        <v>1180</v>
      </c>
      <c r="K857" s="618"/>
      <c r="L857" s="619">
        <v>95</v>
      </c>
      <c r="M857" s="620">
        <v>90</v>
      </c>
      <c r="N857" s="619"/>
      <c r="O857" s="619">
        <v>11</v>
      </c>
      <c r="P857" s="619" t="s">
        <v>760</v>
      </c>
      <c r="Q857" s="662" t="s">
        <v>1002</v>
      </c>
      <c r="R857" s="618"/>
      <c r="S857" s="621" t="s">
        <v>1680</v>
      </c>
      <c r="T857" s="619" t="s">
        <v>1087</v>
      </c>
    </row>
    <row r="858" spans="1:20">
      <c r="A858" s="630">
        <v>2901520</v>
      </c>
      <c r="B858" s="628"/>
      <c r="C858" s="623"/>
      <c r="D858" s="623"/>
      <c r="E858" s="627" t="s">
        <v>1182</v>
      </c>
      <c r="F858" s="634" t="s">
        <v>1716</v>
      </c>
      <c r="G858" s="629">
        <v>290</v>
      </c>
      <c r="H858" s="635">
        <v>1520</v>
      </c>
      <c r="I858" s="618"/>
      <c r="J858" s="619" t="s">
        <v>1182</v>
      </c>
      <c r="K858" s="618"/>
      <c r="L858" s="619">
        <v>95</v>
      </c>
      <c r="M858" s="620">
        <v>90</v>
      </c>
      <c r="N858" s="619"/>
      <c r="O858" s="619">
        <v>11</v>
      </c>
      <c r="P858" s="619" t="s">
        <v>760</v>
      </c>
      <c r="Q858" s="662" t="s">
        <v>1002</v>
      </c>
      <c r="R858" s="618"/>
      <c r="S858" s="621" t="s">
        <v>1680</v>
      </c>
      <c r="T858" s="619" t="s">
        <v>1090</v>
      </c>
    </row>
    <row r="859" spans="1:20">
      <c r="A859" s="622"/>
      <c r="B859" s="628"/>
      <c r="C859" s="629">
        <v>29</v>
      </c>
      <c r="D859" s="774" t="s">
        <v>1717</v>
      </c>
      <c r="E859" s="775"/>
      <c r="F859" s="626"/>
      <c r="G859" s="623"/>
      <c r="H859" s="627"/>
      <c r="I859" s="618"/>
      <c r="J859" s="618"/>
      <c r="K859" s="618"/>
      <c r="L859" s="618"/>
      <c r="M859" s="618"/>
      <c r="N859" s="618"/>
      <c r="O859" s="618"/>
      <c r="P859" s="618"/>
      <c r="Q859" s="662"/>
      <c r="R859" s="618"/>
      <c r="S859" s="621"/>
      <c r="T859" s="618"/>
    </row>
    <row r="860" spans="1:20">
      <c r="A860" s="622"/>
      <c r="B860" s="628"/>
      <c r="C860" s="623"/>
      <c r="D860" s="774" t="s">
        <v>1718</v>
      </c>
      <c r="E860" s="775"/>
      <c r="F860" s="626"/>
      <c r="G860" s="623"/>
      <c r="H860" s="627"/>
      <c r="I860" s="618"/>
      <c r="J860" s="618"/>
      <c r="K860" s="618"/>
      <c r="L860" s="618"/>
      <c r="M860" s="618"/>
      <c r="N860" s="618"/>
      <c r="O860" s="618"/>
      <c r="P860" s="618"/>
      <c r="Q860" s="662"/>
      <c r="R860" s="618"/>
      <c r="S860" s="621"/>
      <c r="T860" s="618"/>
    </row>
    <row r="861" spans="1:20">
      <c r="A861" s="622"/>
      <c r="B861" s="628"/>
      <c r="C861" s="623"/>
      <c r="D861" s="623" t="s">
        <v>756</v>
      </c>
      <c r="E861" s="627" t="s">
        <v>244</v>
      </c>
      <c r="F861" s="626"/>
      <c r="G861" s="623"/>
      <c r="H861" s="627"/>
      <c r="I861" s="618"/>
      <c r="J861" s="618"/>
      <c r="K861" s="618"/>
      <c r="L861" s="618"/>
      <c r="M861" s="618"/>
      <c r="N861" s="618"/>
      <c r="O861" s="618"/>
      <c r="P861" s="618"/>
      <c r="Q861" s="662"/>
      <c r="R861" s="618"/>
      <c r="S861" s="621"/>
      <c r="T861" s="618"/>
    </row>
    <row r="862" spans="1:20">
      <c r="A862" s="630">
        <v>1121530</v>
      </c>
      <c r="B862" s="628"/>
      <c r="C862" s="623"/>
      <c r="D862" s="623"/>
      <c r="E862" s="627" t="s">
        <v>1096</v>
      </c>
      <c r="F862" s="631" t="s">
        <v>1719</v>
      </c>
      <c r="G862" s="661">
        <v>112</v>
      </c>
      <c r="H862" s="633">
        <v>1530</v>
      </c>
      <c r="I862" s="618"/>
      <c r="J862" s="619" t="s">
        <v>1096</v>
      </c>
      <c r="K862" s="618"/>
      <c r="L862" s="619">
        <v>82</v>
      </c>
      <c r="M862" s="620">
        <v>77</v>
      </c>
      <c r="N862" s="619"/>
      <c r="O862" s="619">
        <v>11</v>
      </c>
      <c r="P862" s="619" t="s">
        <v>760</v>
      </c>
      <c r="Q862" s="662" t="s">
        <v>1002</v>
      </c>
      <c r="R862" s="618"/>
      <c r="S862" s="621" t="s">
        <v>1720</v>
      </c>
      <c r="T862" s="619" t="s">
        <v>5</v>
      </c>
    </row>
    <row r="863" spans="1:20">
      <c r="A863" s="630">
        <v>1151530</v>
      </c>
      <c r="B863" s="628"/>
      <c r="C863" s="623"/>
      <c r="D863" s="623"/>
      <c r="E863" s="627" t="s">
        <v>1099</v>
      </c>
      <c r="F863" s="631" t="s">
        <v>1721</v>
      </c>
      <c r="G863" s="661">
        <v>115</v>
      </c>
      <c r="H863" s="633">
        <v>1530</v>
      </c>
      <c r="I863" s="618"/>
      <c r="J863" s="619" t="s">
        <v>1099</v>
      </c>
      <c r="K863" s="618"/>
      <c r="L863" s="619">
        <v>86</v>
      </c>
      <c r="M863" s="620">
        <v>81</v>
      </c>
      <c r="N863" s="619"/>
      <c r="O863" s="619">
        <v>11</v>
      </c>
      <c r="P863" s="619" t="s">
        <v>760</v>
      </c>
      <c r="Q863" s="662" t="s">
        <v>1002</v>
      </c>
      <c r="R863" s="618"/>
      <c r="S863" s="621" t="s">
        <v>1720</v>
      </c>
      <c r="T863" s="619" t="s">
        <v>1101</v>
      </c>
    </row>
    <row r="864" spans="1:20">
      <c r="A864" s="630">
        <v>1231530</v>
      </c>
      <c r="B864" s="628"/>
      <c r="C864" s="623"/>
      <c r="D864" s="623"/>
      <c r="E864" s="627" t="s">
        <v>1102</v>
      </c>
      <c r="F864" s="631" t="s">
        <v>1722</v>
      </c>
      <c r="G864" s="661">
        <v>123</v>
      </c>
      <c r="H864" s="633">
        <v>1530</v>
      </c>
      <c r="I864" s="618"/>
      <c r="J864" s="619" t="s">
        <v>1102</v>
      </c>
      <c r="K864" s="618"/>
      <c r="L864" s="619">
        <v>86</v>
      </c>
      <c r="M864" s="620">
        <v>81</v>
      </c>
      <c r="N864" s="619"/>
      <c r="O864" s="619">
        <v>11</v>
      </c>
      <c r="P864" s="619" t="s">
        <v>760</v>
      </c>
      <c r="Q864" s="662" t="s">
        <v>1002</v>
      </c>
      <c r="R864" s="618"/>
      <c r="S864" s="621" t="s">
        <v>1720</v>
      </c>
      <c r="T864" s="619" t="s">
        <v>1104</v>
      </c>
    </row>
    <row r="865" spans="1:20">
      <c r="A865" s="630">
        <v>1201530</v>
      </c>
      <c r="B865" s="628"/>
      <c r="C865" s="623"/>
      <c r="D865" s="623"/>
      <c r="E865" s="627" t="s">
        <v>1105</v>
      </c>
      <c r="F865" s="631" t="s">
        <v>1723</v>
      </c>
      <c r="G865" s="661">
        <v>120</v>
      </c>
      <c r="H865" s="633">
        <v>1530</v>
      </c>
      <c r="I865" s="618"/>
      <c r="J865" s="619" t="s">
        <v>1105</v>
      </c>
      <c r="K865" s="618"/>
      <c r="L865" s="619">
        <v>86</v>
      </c>
      <c r="M865" s="620">
        <v>81</v>
      </c>
      <c r="N865" s="619"/>
      <c r="O865" s="619">
        <v>11</v>
      </c>
      <c r="P865" s="619" t="s">
        <v>760</v>
      </c>
      <c r="Q865" s="662" t="s">
        <v>1002</v>
      </c>
      <c r="R865" s="618"/>
      <c r="S865" s="621" t="s">
        <v>1720</v>
      </c>
      <c r="T865" s="619" t="s">
        <v>1107</v>
      </c>
    </row>
    <row r="866" spans="1:20">
      <c r="A866" s="630">
        <v>1001530</v>
      </c>
      <c r="B866" s="628"/>
      <c r="C866" s="623"/>
      <c r="D866" s="623"/>
      <c r="E866" s="627" t="s">
        <v>1108</v>
      </c>
      <c r="F866" s="631" t="s">
        <v>1724</v>
      </c>
      <c r="G866" s="661">
        <v>100</v>
      </c>
      <c r="H866" s="633">
        <v>1530</v>
      </c>
      <c r="I866" s="618"/>
      <c r="J866" s="619" t="s">
        <v>1108</v>
      </c>
      <c r="K866" s="618"/>
      <c r="L866" s="619">
        <v>86</v>
      </c>
      <c r="M866" s="620">
        <v>81</v>
      </c>
      <c r="N866" s="619"/>
      <c r="O866" s="619">
        <v>11</v>
      </c>
      <c r="P866" s="619" t="s">
        <v>760</v>
      </c>
      <c r="Q866" s="662" t="s">
        <v>1002</v>
      </c>
      <c r="R866" s="618"/>
      <c r="S866" s="621" t="s">
        <v>1720</v>
      </c>
      <c r="T866" s="619" t="s">
        <v>1015</v>
      </c>
    </row>
    <row r="867" spans="1:20">
      <c r="A867" s="630">
        <v>1401530</v>
      </c>
      <c r="B867" s="628"/>
      <c r="C867" s="623"/>
      <c r="D867" s="623"/>
      <c r="E867" s="627" t="s">
        <v>1110</v>
      </c>
      <c r="F867" s="631" t="s">
        <v>1725</v>
      </c>
      <c r="G867" s="661">
        <v>140</v>
      </c>
      <c r="H867" s="633">
        <v>1530</v>
      </c>
      <c r="I867" s="618"/>
      <c r="J867" s="619" t="s">
        <v>1110</v>
      </c>
      <c r="K867" s="618"/>
      <c r="L867" s="619">
        <v>86</v>
      </c>
      <c r="M867" s="620">
        <v>81</v>
      </c>
      <c r="N867" s="619"/>
      <c r="O867" s="619">
        <v>11</v>
      </c>
      <c r="P867" s="619" t="s">
        <v>760</v>
      </c>
      <c r="Q867" s="662" t="s">
        <v>1002</v>
      </c>
      <c r="R867" s="618"/>
      <c r="S867" s="621" t="s">
        <v>1720</v>
      </c>
      <c r="T867" s="619" t="s">
        <v>1017</v>
      </c>
    </row>
    <row r="868" spans="1:20">
      <c r="A868" s="630">
        <v>3001530</v>
      </c>
      <c r="B868" s="628"/>
      <c r="C868" s="623"/>
      <c r="D868" s="623" t="s">
        <v>775</v>
      </c>
      <c r="E868" s="627" t="s">
        <v>1112</v>
      </c>
      <c r="F868" s="631" t="s">
        <v>1726</v>
      </c>
      <c r="G868" s="661">
        <v>300</v>
      </c>
      <c r="H868" s="633">
        <v>1530</v>
      </c>
      <c r="I868" s="618"/>
      <c r="J868" s="619" t="s">
        <v>1112</v>
      </c>
      <c r="K868" s="618"/>
      <c r="L868" s="619">
        <v>101</v>
      </c>
      <c r="M868" s="620">
        <v>96</v>
      </c>
      <c r="N868" s="619"/>
      <c r="O868" s="619">
        <v>11</v>
      </c>
      <c r="P868" s="619" t="s">
        <v>760</v>
      </c>
      <c r="Q868" s="662"/>
      <c r="R868" s="618"/>
      <c r="S868" s="621" t="s">
        <v>1720</v>
      </c>
      <c r="T868" s="619" t="s">
        <v>1112</v>
      </c>
    </row>
    <row r="869" spans="1:20">
      <c r="A869" s="622"/>
      <c r="B869" s="628"/>
      <c r="C869" s="623"/>
      <c r="D869" s="623" t="s">
        <v>799</v>
      </c>
      <c r="E869" s="627" t="s">
        <v>250</v>
      </c>
      <c r="F869" s="673"/>
      <c r="G869" s="623"/>
      <c r="H869" s="627"/>
      <c r="I869" s="618"/>
      <c r="J869" s="618"/>
      <c r="K869" s="618"/>
      <c r="L869" s="618"/>
      <c r="M869" s="618"/>
      <c r="N869" s="618"/>
      <c r="O869" s="618"/>
      <c r="P869" s="618"/>
      <c r="Q869" s="662"/>
      <c r="R869" s="618"/>
      <c r="S869" s="621"/>
      <c r="T869" s="618"/>
    </row>
    <row r="870" spans="1:20">
      <c r="A870" s="630">
        <v>4301530</v>
      </c>
      <c r="B870" s="628"/>
      <c r="C870" s="623"/>
      <c r="D870" s="623"/>
      <c r="E870" s="627" t="s">
        <v>1114</v>
      </c>
      <c r="F870" s="631" t="s">
        <v>1727</v>
      </c>
      <c r="G870" s="661">
        <v>430</v>
      </c>
      <c r="H870" s="633">
        <v>1530</v>
      </c>
      <c r="I870" s="618"/>
      <c r="J870" s="619" t="s">
        <v>1114</v>
      </c>
      <c r="K870" s="618"/>
      <c r="L870" s="619">
        <v>107</v>
      </c>
      <c r="M870" s="620">
        <v>102</v>
      </c>
      <c r="N870" s="619"/>
      <c r="O870" s="619">
        <v>11</v>
      </c>
      <c r="P870" s="619" t="s">
        <v>760</v>
      </c>
      <c r="Q870" s="662"/>
      <c r="R870" s="618"/>
      <c r="S870" s="621" t="s">
        <v>1720</v>
      </c>
      <c r="T870" s="619" t="s">
        <v>1021</v>
      </c>
    </row>
    <row r="871" spans="1:20">
      <c r="A871" s="630">
        <v>4421530</v>
      </c>
      <c r="B871" s="628"/>
      <c r="C871" s="623"/>
      <c r="D871" s="623"/>
      <c r="E871" s="627" t="s">
        <v>1116</v>
      </c>
      <c r="F871" s="631" t="s">
        <v>1728</v>
      </c>
      <c r="G871" s="661">
        <v>442</v>
      </c>
      <c r="H871" s="633">
        <v>1530</v>
      </c>
      <c r="I871" s="618"/>
      <c r="J871" s="619" t="s">
        <v>1116</v>
      </c>
      <c r="K871" s="618"/>
      <c r="L871" s="619">
        <v>106</v>
      </c>
      <c r="M871" s="620">
        <v>101</v>
      </c>
      <c r="N871" s="619"/>
      <c r="O871" s="619">
        <v>11</v>
      </c>
      <c r="P871" s="619" t="s">
        <v>760</v>
      </c>
      <c r="Q871" s="662"/>
      <c r="R871" s="618"/>
      <c r="S871" s="621" t="s">
        <v>1720</v>
      </c>
      <c r="T871" s="619" t="s">
        <v>1023</v>
      </c>
    </row>
    <row r="872" spans="1:20">
      <c r="A872" s="630">
        <v>4001530</v>
      </c>
      <c r="B872" s="628"/>
      <c r="C872" s="623"/>
      <c r="D872" s="623"/>
      <c r="E872" s="627" t="s">
        <v>1118</v>
      </c>
      <c r="F872" s="631" t="s">
        <v>1729</v>
      </c>
      <c r="G872" s="661">
        <v>400</v>
      </c>
      <c r="H872" s="633">
        <v>1530</v>
      </c>
      <c r="I872" s="618"/>
      <c r="J872" s="619" t="s">
        <v>1118</v>
      </c>
      <c r="K872" s="618"/>
      <c r="L872" s="619">
        <v>108</v>
      </c>
      <c r="M872" s="620">
        <v>103</v>
      </c>
      <c r="N872" s="619"/>
      <c r="O872" s="619">
        <v>11</v>
      </c>
      <c r="P872" s="619" t="s">
        <v>760</v>
      </c>
      <c r="Q872" s="662"/>
      <c r="R872" s="618"/>
      <c r="S872" s="621" t="s">
        <v>1720</v>
      </c>
      <c r="T872" s="619" t="s">
        <v>1025</v>
      </c>
    </row>
    <row r="873" spans="1:20">
      <c r="A873" s="622"/>
      <c r="B873" s="628"/>
      <c r="C873" s="623"/>
      <c r="D873" s="623" t="s">
        <v>803</v>
      </c>
      <c r="E873" s="627" t="s">
        <v>252</v>
      </c>
      <c r="F873" s="626"/>
      <c r="G873" s="623"/>
      <c r="H873" s="627"/>
      <c r="I873" s="618"/>
      <c r="J873" s="618"/>
      <c r="K873" s="618"/>
      <c r="L873" s="618"/>
      <c r="M873" s="618"/>
      <c r="N873" s="618"/>
      <c r="O873" s="618"/>
      <c r="P873" s="618"/>
      <c r="Q873" s="662"/>
      <c r="R873" s="618"/>
      <c r="S873" s="621"/>
      <c r="T873" s="618"/>
    </row>
    <row r="874" spans="1:20">
      <c r="A874" s="622"/>
      <c r="B874" s="628"/>
      <c r="C874" s="623"/>
      <c r="D874" s="623"/>
      <c r="E874" s="627" t="s">
        <v>1120</v>
      </c>
      <c r="F874" s="626"/>
      <c r="G874" s="623"/>
      <c r="H874" s="627"/>
      <c r="I874" s="618"/>
      <c r="J874" s="618"/>
      <c r="K874" s="618"/>
      <c r="L874" s="618"/>
      <c r="M874" s="618"/>
      <c r="N874" s="618"/>
      <c r="O874" s="618"/>
      <c r="P874" s="618"/>
      <c r="Q874" s="662"/>
      <c r="R874" s="618"/>
      <c r="S874" s="621"/>
      <c r="T874" s="618"/>
    </row>
    <row r="875" spans="1:20">
      <c r="A875" s="630">
        <v>5611530</v>
      </c>
      <c r="B875" s="628"/>
      <c r="C875" s="623"/>
      <c r="D875" s="623"/>
      <c r="E875" s="627" t="s">
        <v>1121</v>
      </c>
      <c r="F875" s="634" t="s">
        <v>1730</v>
      </c>
      <c r="G875" s="629">
        <v>561</v>
      </c>
      <c r="H875" s="635">
        <v>1530</v>
      </c>
      <c r="I875" s="618"/>
      <c r="J875" s="619" t="s">
        <v>1121</v>
      </c>
      <c r="K875" s="618"/>
      <c r="L875" s="619">
        <v>119</v>
      </c>
      <c r="M875" s="620">
        <v>110</v>
      </c>
      <c r="N875" s="619"/>
      <c r="O875" s="619">
        <v>11</v>
      </c>
      <c r="P875" s="619" t="s">
        <v>760</v>
      </c>
      <c r="Q875" s="662"/>
      <c r="R875" s="618"/>
      <c r="S875" s="621" t="s">
        <v>1720</v>
      </c>
      <c r="T875" s="619" t="s">
        <v>1030</v>
      </c>
    </row>
    <row r="876" spans="1:20">
      <c r="A876" s="630">
        <v>5621530</v>
      </c>
      <c r="B876" s="628"/>
      <c r="C876" s="623"/>
      <c r="D876" s="623"/>
      <c r="E876" s="627" t="s">
        <v>1123</v>
      </c>
      <c r="F876" s="634" t="s">
        <v>1731</v>
      </c>
      <c r="G876" s="629">
        <v>562</v>
      </c>
      <c r="H876" s="635">
        <v>1530</v>
      </c>
      <c r="I876" s="618"/>
      <c r="J876" s="619" t="s">
        <v>1123</v>
      </c>
      <c r="K876" s="618"/>
      <c r="L876" s="619">
        <v>119</v>
      </c>
      <c r="M876" s="620">
        <v>110</v>
      </c>
      <c r="N876" s="619"/>
      <c r="O876" s="619">
        <v>11</v>
      </c>
      <c r="P876" s="619" t="s">
        <v>760</v>
      </c>
      <c r="Q876" s="662"/>
      <c r="R876" s="618"/>
      <c r="S876" s="621" t="s">
        <v>1720</v>
      </c>
      <c r="T876" s="619" t="s">
        <v>1033</v>
      </c>
    </row>
    <row r="877" spans="1:20">
      <c r="A877" s="630">
        <v>5631530</v>
      </c>
      <c r="B877" s="628"/>
      <c r="C877" s="623"/>
      <c r="D877" s="623"/>
      <c r="E877" s="627" t="s">
        <v>1304</v>
      </c>
      <c r="F877" s="634" t="s">
        <v>1732</v>
      </c>
      <c r="G877" s="629">
        <v>563</v>
      </c>
      <c r="H877" s="635">
        <v>1530</v>
      </c>
      <c r="I877" s="618"/>
      <c r="J877" s="619" t="s">
        <v>1304</v>
      </c>
      <c r="K877" s="618"/>
      <c r="L877" s="619">
        <v>119</v>
      </c>
      <c r="M877" s="620">
        <v>110</v>
      </c>
      <c r="N877" s="619"/>
      <c r="O877" s="619">
        <v>11</v>
      </c>
      <c r="P877" s="619" t="s">
        <v>760</v>
      </c>
      <c r="Q877" s="662"/>
      <c r="R877" s="618"/>
      <c r="S877" s="621" t="s">
        <v>1720</v>
      </c>
      <c r="T877" s="619" t="s">
        <v>1036</v>
      </c>
    </row>
    <row r="878" spans="1:20">
      <c r="A878" s="630">
        <v>5821530</v>
      </c>
      <c r="B878" s="628"/>
      <c r="C878" s="623"/>
      <c r="D878" s="623"/>
      <c r="E878" s="627" t="s">
        <v>1134</v>
      </c>
      <c r="F878" s="634" t="s">
        <v>1733</v>
      </c>
      <c r="G878" s="629">
        <v>582</v>
      </c>
      <c r="H878" s="635">
        <v>1530</v>
      </c>
      <c r="I878" s="618"/>
      <c r="J878" s="619" t="s">
        <v>1134</v>
      </c>
      <c r="K878" s="618"/>
      <c r="L878" s="619">
        <v>118</v>
      </c>
      <c r="M878" s="620">
        <v>109</v>
      </c>
      <c r="N878" s="619"/>
      <c r="O878" s="619">
        <v>11</v>
      </c>
      <c r="P878" s="619" t="s">
        <v>760</v>
      </c>
      <c r="Q878" s="662"/>
      <c r="R878" s="618"/>
      <c r="S878" s="621" t="s">
        <v>1720</v>
      </c>
      <c r="T878" s="619" t="s">
        <v>1037</v>
      </c>
    </row>
    <row r="879" spans="1:20">
      <c r="A879" s="630">
        <v>5001530</v>
      </c>
      <c r="B879" s="628"/>
      <c r="C879" s="623"/>
      <c r="D879" s="623"/>
      <c r="E879" s="627" t="s">
        <v>1136</v>
      </c>
      <c r="F879" s="634" t="s">
        <v>1734</v>
      </c>
      <c r="G879" s="629">
        <v>500</v>
      </c>
      <c r="H879" s="635">
        <v>1530</v>
      </c>
      <c r="I879" s="618"/>
      <c r="J879" s="619" t="s">
        <v>1136</v>
      </c>
      <c r="K879" s="618"/>
      <c r="L879" s="619">
        <v>119</v>
      </c>
      <c r="M879" s="620">
        <v>110</v>
      </c>
      <c r="N879" s="619"/>
      <c r="O879" s="619">
        <v>11</v>
      </c>
      <c r="P879" s="619" t="s">
        <v>760</v>
      </c>
      <c r="Q879" s="662"/>
      <c r="R879" s="618"/>
      <c r="S879" s="621" t="s">
        <v>1720</v>
      </c>
      <c r="T879" s="619" t="s">
        <v>252</v>
      </c>
    </row>
    <row r="880" spans="1:20">
      <c r="A880" s="622"/>
      <c r="B880" s="628"/>
      <c r="C880" s="623"/>
      <c r="D880" s="623" t="s">
        <v>848</v>
      </c>
      <c r="E880" s="627" t="s">
        <v>1040</v>
      </c>
      <c r="F880" s="626"/>
      <c r="G880" s="623"/>
      <c r="H880" s="627"/>
      <c r="I880" s="618"/>
      <c r="J880" s="618"/>
      <c r="K880" s="618"/>
      <c r="L880" s="618"/>
      <c r="M880" s="618"/>
      <c r="N880" s="618"/>
      <c r="O880" s="618"/>
      <c r="P880" s="618"/>
      <c r="Q880" s="662"/>
      <c r="R880" s="618"/>
      <c r="S880" s="621"/>
      <c r="T880" s="618"/>
    </row>
    <row r="881" spans="1:20">
      <c r="A881" s="630">
        <v>6151530</v>
      </c>
      <c r="B881" s="628"/>
      <c r="C881" s="623"/>
      <c r="D881" s="623"/>
      <c r="E881" s="627" t="s">
        <v>1138</v>
      </c>
      <c r="F881" s="631" t="s">
        <v>1735</v>
      </c>
      <c r="G881" s="661">
        <v>615</v>
      </c>
      <c r="H881" s="633">
        <v>1530</v>
      </c>
      <c r="I881" s="618"/>
      <c r="J881" s="619" t="s">
        <v>1138</v>
      </c>
      <c r="K881" s="618"/>
      <c r="L881" s="619">
        <v>126</v>
      </c>
      <c r="M881" s="620">
        <v>117</v>
      </c>
      <c r="N881" s="619"/>
      <c r="O881" s="619">
        <v>11</v>
      </c>
      <c r="P881" s="619" t="s">
        <v>760</v>
      </c>
      <c r="Q881" s="662" t="s">
        <v>1043</v>
      </c>
      <c r="R881" s="618"/>
      <c r="S881" s="621" t="s">
        <v>1720</v>
      </c>
      <c r="T881" s="619" t="s">
        <v>1041</v>
      </c>
    </row>
    <row r="882" spans="1:20">
      <c r="A882" s="630">
        <v>6101530</v>
      </c>
      <c r="B882" s="628"/>
      <c r="C882" s="623"/>
      <c r="D882" s="623"/>
      <c r="E882" s="627" t="s">
        <v>1140</v>
      </c>
      <c r="F882" s="631" t="s">
        <v>1736</v>
      </c>
      <c r="G882" s="661">
        <v>610</v>
      </c>
      <c r="H882" s="633">
        <v>1530</v>
      </c>
      <c r="I882" s="618"/>
      <c r="J882" s="619" t="s">
        <v>1140</v>
      </c>
      <c r="K882" s="618"/>
      <c r="L882" s="619">
        <v>122</v>
      </c>
      <c r="M882" s="620">
        <v>113</v>
      </c>
      <c r="N882" s="619"/>
      <c r="O882" s="619">
        <v>11</v>
      </c>
      <c r="P882" s="619" t="s">
        <v>760</v>
      </c>
      <c r="Q882" s="662" t="s">
        <v>1043</v>
      </c>
      <c r="R882" s="618"/>
      <c r="S882" s="621" t="s">
        <v>1720</v>
      </c>
      <c r="T882" s="619" t="s">
        <v>39</v>
      </c>
    </row>
    <row r="883" spans="1:20">
      <c r="A883" s="630">
        <v>6421530</v>
      </c>
      <c r="B883" s="628"/>
      <c r="C883" s="623"/>
      <c r="D883" s="623"/>
      <c r="E883" s="627" t="s">
        <v>1142</v>
      </c>
      <c r="F883" s="631" t="s">
        <v>1737</v>
      </c>
      <c r="G883" s="661">
        <v>642</v>
      </c>
      <c r="H883" s="633">
        <v>1530</v>
      </c>
      <c r="I883" s="618"/>
      <c r="J883" s="619" t="s">
        <v>1142</v>
      </c>
      <c r="K883" s="618"/>
      <c r="L883" s="619">
        <v>125</v>
      </c>
      <c r="M883" s="620">
        <v>116</v>
      </c>
      <c r="N883" s="619"/>
      <c r="O883" s="619">
        <v>11</v>
      </c>
      <c r="P883" s="619" t="s">
        <v>760</v>
      </c>
      <c r="Q883" s="662" t="s">
        <v>1043</v>
      </c>
      <c r="R883" s="618"/>
      <c r="S883" s="621" t="s">
        <v>1720</v>
      </c>
      <c r="T883" s="619" t="s">
        <v>1046</v>
      </c>
    </row>
    <row r="884" spans="1:20">
      <c r="A884" s="630">
        <v>6001530</v>
      </c>
      <c r="B884" s="628"/>
      <c r="C884" s="623"/>
      <c r="D884" s="623"/>
      <c r="E884" s="627" t="s">
        <v>1144</v>
      </c>
      <c r="F884" s="631" t="s">
        <v>1738</v>
      </c>
      <c r="G884" s="661">
        <v>600</v>
      </c>
      <c r="H884" s="633">
        <v>1530</v>
      </c>
      <c r="I884" s="618"/>
      <c r="J884" s="619" t="s">
        <v>1144</v>
      </c>
      <c r="K884" s="618"/>
      <c r="L884" s="619">
        <v>126</v>
      </c>
      <c r="M884" s="620">
        <v>117</v>
      </c>
      <c r="N884" s="619"/>
      <c r="O884" s="619">
        <v>11</v>
      </c>
      <c r="P884" s="619" t="s">
        <v>760</v>
      </c>
      <c r="Q884" s="662"/>
      <c r="R884" s="618"/>
      <c r="S884" s="621" t="s">
        <v>1720</v>
      </c>
      <c r="T884" s="619" t="s">
        <v>1048</v>
      </c>
    </row>
    <row r="885" spans="1:20">
      <c r="A885" s="622"/>
      <c r="B885" s="628"/>
      <c r="C885" s="623"/>
      <c r="D885" s="623" t="s">
        <v>851</v>
      </c>
      <c r="E885" s="627" t="s">
        <v>1050</v>
      </c>
      <c r="F885" s="626"/>
      <c r="G885" s="623"/>
      <c r="H885" s="627"/>
      <c r="I885" s="618"/>
      <c r="J885" s="618"/>
      <c r="K885" s="618"/>
      <c r="L885" s="618"/>
      <c r="M885" s="618"/>
      <c r="N885" s="618"/>
      <c r="O885" s="618"/>
      <c r="P885" s="618"/>
      <c r="Q885" s="662"/>
      <c r="R885" s="618"/>
      <c r="S885" s="621"/>
      <c r="T885" s="618"/>
    </row>
    <row r="886" spans="1:20">
      <c r="A886" s="630">
        <v>7341530</v>
      </c>
      <c r="B886" s="628"/>
      <c r="C886" s="623"/>
      <c r="D886" s="623"/>
      <c r="E886" s="627" t="s">
        <v>1146</v>
      </c>
      <c r="F886" s="631" t="s">
        <v>1739</v>
      </c>
      <c r="G886" s="661">
        <v>734</v>
      </c>
      <c r="H886" s="633">
        <v>1530</v>
      </c>
      <c r="I886" s="618"/>
      <c r="J886" s="619" t="s">
        <v>1146</v>
      </c>
      <c r="K886" s="618"/>
      <c r="L886" s="619">
        <v>131</v>
      </c>
      <c r="M886" s="620">
        <v>122</v>
      </c>
      <c r="N886" s="619"/>
      <c r="O886" s="619">
        <v>11</v>
      </c>
      <c r="P886" s="619" t="s">
        <v>760</v>
      </c>
      <c r="Q886" s="662"/>
      <c r="R886" s="618"/>
      <c r="S886" s="621" t="s">
        <v>1720</v>
      </c>
      <c r="T886" s="619" t="s">
        <v>1051</v>
      </c>
    </row>
    <row r="887" spans="1:20">
      <c r="A887" s="630">
        <v>7351530</v>
      </c>
      <c r="B887" s="628"/>
      <c r="C887" s="623"/>
      <c r="D887" s="623"/>
      <c r="E887" s="627" t="s">
        <v>1148</v>
      </c>
      <c r="F887" s="631" t="s">
        <v>1740</v>
      </c>
      <c r="G887" s="661">
        <v>735</v>
      </c>
      <c r="H887" s="633">
        <v>1530</v>
      </c>
      <c r="I887" s="618"/>
      <c r="J887" s="619" t="s">
        <v>1148</v>
      </c>
      <c r="K887" s="618"/>
      <c r="L887" s="619">
        <v>131</v>
      </c>
      <c r="M887" s="620">
        <v>122</v>
      </c>
      <c r="N887" s="619"/>
      <c r="O887" s="619">
        <v>11</v>
      </c>
      <c r="P887" s="619" t="s">
        <v>760</v>
      </c>
      <c r="Q887" s="662"/>
      <c r="R887" s="618"/>
      <c r="S887" s="621" t="s">
        <v>1720</v>
      </c>
      <c r="T887" s="619" t="s">
        <v>1053</v>
      </c>
    </row>
    <row r="888" spans="1:20">
      <c r="A888" s="630">
        <v>7301530</v>
      </c>
      <c r="B888" s="628"/>
      <c r="C888" s="623"/>
      <c r="D888" s="623"/>
      <c r="E888" s="627" t="s">
        <v>1150</v>
      </c>
      <c r="F888" s="631" t="s">
        <v>1741</v>
      </c>
      <c r="G888" s="661">
        <v>730</v>
      </c>
      <c r="H888" s="633">
        <v>1530</v>
      </c>
      <c r="I888" s="618"/>
      <c r="J888" s="619" t="s">
        <v>1150</v>
      </c>
      <c r="K888" s="618"/>
      <c r="L888" s="619">
        <v>131</v>
      </c>
      <c r="M888" s="620">
        <v>122</v>
      </c>
      <c r="N888" s="619"/>
      <c r="O888" s="619">
        <v>11</v>
      </c>
      <c r="P888" s="619" t="s">
        <v>760</v>
      </c>
      <c r="Q888" s="662"/>
      <c r="R888" s="618"/>
      <c r="S888" s="621" t="s">
        <v>1720</v>
      </c>
      <c r="T888" s="619" t="s">
        <v>1055</v>
      </c>
    </row>
    <row r="889" spans="1:20">
      <c r="A889" s="630">
        <v>7001530</v>
      </c>
      <c r="B889" s="628"/>
      <c r="C889" s="623"/>
      <c r="D889" s="623"/>
      <c r="E889" s="627" t="s">
        <v>1152</v>
      </c>
      <c r="F889" s="631" t="s">
        <v>1742</v>
      </c>
      <c r="G889" s="661">
        <v>700</v>
      </c>
      <c r="H889" s="633">
        <v>1530</v>
      </c>
      <c r="I889" s="618"/>
      <c r="J889" s="619" t="s">
        <v>1152</v>
      </c>
      <c r="K889" s="618"/>
      <c r="L889" s="619">
        <v>132</v>
      </c>
      <c r="M889" s="620">
        <v>123</v>
      </c>
      <c r="N889" s="619"/>
      <c r="O889" s="619">
        <v>11</v>
      </c>
      <c r="P889" s="619" t="s">
        <v>760</v>
      </c>
      <c r="Q889" s="662"/>
      <c r="R889" s="618"/>
      <c r="S889" s="621" t="s">
        <v>1720</v>
      </c>
      <c r="T889" s="619" t="s">
        <v>1057</v>
      </c>
    </row>
    <row r="890" spans="1:20">
      <c r="A890" s="622"/>
      <c r="B890" s="628"/>
      <c r="C890" s="623"/>
      <c r="D890" s="623" t="s">
        <v>854</v>
      </c>
      <c r="E890" s="627" t="s">
        <v>256</v>
      </c>
      <c r="F890" s="626"/>
      <c r="G890" s="623"/>
      <c r="H890" s="627"/>
      <c r="I890" s="618"/>
      <c r="J890" s="618"/>
      <c r="K890" s="618"/>
      <c r="L890" s="618"/>
      <c r="M890" s="618"/>
      <c r="N890" s="618"/>
      <c r="O890" s="618"/>
      <c r="P890" s="618"/>
      <c r="Q890" s="662"/>
      <c r="R890" s="618"/>
      <c r="S890" s="621"/>
      <c r="T890" s="618"/>
    </row>
    <row r="891" spans="1:20">
      <c r="A891" s="630">
        <v>8951530</v>
      </c>
      <c r="B891" s="628"/>
      <c r="C891" s="623"/>
      <c r="D891" s="623"/>
      <c r="E891" s="627" t="s">
        <v>1154</v>
      </c>
      <c r="F891" s="634" t="s">
        <v>1743</v>
      </c>
      <c r="G891" s="629">
        <v>895</v>
      </c>
      <c r="H891" s="635">
        <v>1530</v>
      </c>
      <c r="I891" s="618"/>
      <c r="J891" s="619" t="s">
        <v>1154</v>
      </c>
      <c r="K891" s="618"/>
      <c r="L891" s="619">
        <v>139</v>
      </c>
      <c r="M891" s="620">
        <v>129</v>
      </c>
      <c r="N891" s="619"/>
      <c r="O891" s="619">
        <v>11</v>
      </c>
      <c r="P891" s="619" t="s">
        <v>760</v>
      </c>
      <c r="Q891" s="662"/>
      <c r="R891" s="618"/>
      <c r="S891" s="621" t="s">
        <v>1720</v>
      </c>
      <c r="T891" s="619" t="s">
        <v>1059</v>
      </c>
    </row>
    <row r="892" spans="1:20">
      <c r="A892" s="630">
        <v>8001530</v>
      </c>
      <c r="B892" s="628"/>
      <c r="C892" s="623"/>
      <c r="D892" s="623"/>
      <c r="E892" s="627" t="s">
        <v>1156</v>
      </c>
      <c r="F892" s="634" t="s">
        <v>1744</v>
      </c>
      <c r="G892" s="629">
        <v>800</v>
      </c>
      <c r="H892" s="635">
        <v>1530</v>
      </c>
      <c r="I892" s="618"/>
      <c r="J892" s="619" t="s">
        <v>1156</v>
      </c>
      <c r="K892" s="618"/>
      <c r="L892" s="619">
        <v>139</v>
      </c>
      <c r="M892" s="620">
        <v>129</v>
      </c>
      <c r="N892" s="619"/>
      <c r="O892" s="619">
        <v>11</v>
      </c>
      <c r="P892" s="619" t="s">
        <v>760</v>
      </c>
      <c r="Q892" s="662"/>
      <c r="R892" s="618"/>
      <c r="S892" s="621" t="s">
        <v>1720</v>
      </c>
      <c r="T892" s="619" t="s">
        <v>1061</v>
      </c>
    </row>
    <row r="893" spans="1:20">
      <c r="A893" s="622"/>
      <c r="B893" s="628"/>
      <c r="C893" s="623"/>
      <c r="D893" s="623" t="s">
        <v>857</v>
      </c>
      <c r="E893" s="627" t="s">
        <v>1063</v>
      </c>
      <c r="F893" s="626"/>
      <c r="G893" s="623"/>
      <c r="H893" s="627"/>
      <c r="I893" s="618"/>
      <c r="J893" s="618"/>
      <c r="K893" s="618"/>
      <c r="L893" s="618"/>
      <c r="M893" s="618"/>
      <c r="N893" s="618"/>
      <c r="O893" s="618"/>
      <c r="P893" s="618"/>
      <c r="Q893" s="662"/>
      <c r="R893" s="618"/>
      <c r="S893" s="621"/>
      <c r="T893" s="618"/>
    </row>
    <row r="894" spans="1:20">
      <c r="A894" s="630">
        <v>2101530</v>
      </c>
      <c r="B894" s="628"/>
      <c r="C894" s="623"/>
      <c r="D894" s="623"/>
      <c r="E894" s="627" t="s">
        <v>1158</v>
      </c>
      <c r="F894" s="634" t="s">
        <v>1745</v>
      </c>
      <c r="G894" s="629">
        <v>210</v>
      </c>
      <c r="H894" s="635">
        <v>1530</v>
      </c>
      <c r="I894" s="618"/>
      <c r="J894" s="619" t="s">
        <v>1158</v>
      </c>
      <c r="K894" s="618"/>
      <c r="L894" s="619">
        <v>89</v>
      </c>
      <c r="M894" s="620">
        <v>84</v>
      </c>
      <c r="N894" s="619"/>
      <c r="O894" s="619">
        <v>11</v>
      </c>
      <c r="P894" s="619" t="s">
        <v>760</v>
      </c>
      <c r="Q894" s="662" t="s">
        <v>1002</v>
      </c>
      <c r="R894" s="618"/>
      <c r="S894" s="621" t="s">
        <v>1720</v>
      </c>
      <c r="T894" s="619" t="s">
        <v>1064</v>
      </c>
    </row>
    <row r="895" spans="1:20">
      <c r="A895" s="630">
        <v>2201530</v>
      </c>
      <c r="B895" s="628"/>
      <c r="C895" s="623"/>
      <c r="D895" s="623"/>
      <c r="E895" s="627" t="s">
        <v>1160</v>
      </c>
      <c r="F895" s="634" t="s">
        <v>1746</v>
      </c>
      <c r="G895" s="629">
        <v>220</v>
      </c>
      <c r="H895" s="635">
        <v>1530</v>
      </c>
      <c r="I895" s="618"/>
      <c r="J895" s="619" t="s">
        <v>1160</v>
      </c>
      <c r="K895" s="618"/>
      <c r="L895" s="619">
        <v>90</v>
      </c>
      <c r="M895" s="620">
        <v>85</v>
      </c>
      <c r="N895" s="619"/>
      <c r="O895" s="619">
        <v>11</v>
      </c>
      <c r="P895" s="619" t="s">
        <v>760</v>
      </c>
      <c r="Q895" s="662" t="s">
        <v>1002</v>
      </c>
      <c r="R895" s="618"/>
      <c r="S895" s="621" t="s">
        <v>1720</v>
      </c>
      <c r="T895" s="619" t="s">
        <v>1066</v>
      </c>
    </row>
    <row r="896" spans="1:20">
      <c r="A896" s="630">
        <v>2251530</v>
      </c>
      <c r="B896" s="628"/>
      <c r="C896" s="623"/>
      <c r="D896" s="623"/>
      <c r="E896" s="627" t="s">
        <v>1162</v>
      </c>
      <c r="F896" s="634" t="s">
        <v>1747</v>
      </c>
      <c r="G896" s="629">
        <v>225</v>
      </c>
      <c r="H896" s="635">
        <v>1530</v>
      </c>
      <c r="I896" s="618"/>
      <c r="J896" s="619" t="s">
        <v>1162</v>
      </c>
      <c r="K896" s="618"/>
      <c r="L896" s="619">
        <v>91</v>
      </c>
      <c r="M896" s="620">
        <v>86</v>
      </c>
      <c r="N896" s="619"/>
      <c r="O896" s="619">
        <v>11</v>
      </c>
      <c r="P896" s="619" t="s">
        <v>760</v>
      </c>
      <c r="Q896" s="662" t="s">
        <v>1002</v>
      </c>
      <c r="R896" s="618"/>
      <c r="S896" s="621" t="s">
        <v>1720</v>
      </c>
      <c r="T896" s="619" t="s">
        <v>23</v>
      </c>
    </row>
    <row r="897" spans="1:20">
      <c r="A897" s="622"/>
      <c r="B897" s="628"/>
      <c r="C897" s="623"/>
      <c r="D897" s="623"/>
      <c r="E897" s="627" t="s">
        <v>1164</v>
      </c>
      <c r="F897" s="626"/>
      <c r="G897" s="623"/>
      <c r="H897" s="627"/>
      <c r="I897" s="618"/>
      <c r="J897" s="618"/>
      <c r="K897" s="618"/>
      <c r="L897" s="618"/>
      <c r="M897" s="618"/>
      <c r="N897" s="618"/>
      <c r="O897" s="618"/>
      <c r="P897" s="618"/>
      <c r="Q897" s="662"/>
      <c r="R897" s="618"/>
      <c r="S897" s="621"/>
      <c r="T897" s="618"/>
    </row>
    <row r="898" spans="1:20">
      <c r="A898" s="630">
        <v>2311530</v>
      </c>
      <c r="B898" s="628"/>
      <c r="C898" s="623"/>
      <c r="D898" s="623"/>
      <c r="E898" s="627" t="s">
        <v>1165</v>
      </c>
      <c r="F898" s="634" t="s">
        <v>1748</v>
      </c>
      <c r="G898" s="629">
        <v>231</v>
      </c>
      <c r="H898" s="635">
        <v>1530</v>
      </c>
      <c r="I898" s="618"/>
      <c r="J898" s="619" t="s">
        <v>1165</v>
      </c>
      <c r="K898" s="618"/>
      <c r="L898" s="619">
        <v>92</v>
      </c>
      <c r="M898" s="620">
        <v>87</v>
      </c>
      <c r="N898" s="619"/>
      <c r="O898" s="619">
        <v>11</v>
      </c>
      <c r="P898" s="619" t="s">
        <v>760</v>
      </c>
      <c r="Q898" s="662" t="s">
        <v>1002</v>
      </c>
      <c r="R898" s="618"/>
      <c r="S898" s="621" t="s">
        <v>1720</v>
      </c>
      <c r="T898" s="619" t="s">
        <v>1072</v>
      </c>
    </row>
    <row r="899" spans="1:20">
      <c r="A899" s="630">
        <v>2331530</v>
      </c>
      <c r="B899" s="628"/>
      <c r="C899" s="623"/>
      <c r="D899" s="623"/>
      <c r="E899" s="627" t="s">
        <v>1167</v>
      </c>
      <c r="F899" s="634" t="s">
        <v>1749</v>
      </c>
      <c r="G899" s="629">
        <v>233</v>
      </c>
      <c r="H899" s="635">
        <v>1530</v>
      </c>
      <c r="I899" s="618"/>
      <c r="J899" s="619" t="s">
        <v>1167</v>
      </c>
      <c r="K899" s="618"/>
      <c r="L899" s="619">
        <v>92</v>
      </c>
      <c r="M899" s="620">
        <v>87</v>
      </c>
      <c r="N899" s="619"/>
      <c r="O899" s="619">
        <v>11</v>
      </c>
      <c r="P899" s="619" t="s">
        <v>760</v>
      </c>
      <c r="Q899" s="662" t="s">
        <v>1002</v>
      </c>
      <c r="R899" s="618"/>
      <c r="S899" s="621" t="s">
        <v>1720</v>
      </c>
      <c r="T899" s="619" t="s">
        <v>1169</v>
      </c>
    </row>
    <row r="900" spans="1:20">
      <c r="A900" s="630">
        <v>2391530</v>
      </c>
      <c r="B900" s="628"/>
      <c r="C900" s="623"/>
      <c r="D900" s="623"/>
      <c r="E900" s="627" t="s">
        <v>1170</v>
      </c>
      <c r="F900" s="634" t="s">
        <v>1750</v>
      </c>
      <c r="G900" s="629">
        <v>239</v>
      </c>
      <c r="H900" s="635">
        <v>1530</v>
      </c>
      <c r="I900" s="618"/>
      <c r="J900" s="619" t="s">
        <v>1170</v>
      </c>
      <c r="K900" s="618"/>
      <c r="L900" s="619">
        <v>92</v>
      </c>
      <c r="M900" s="620">
        <v>87</v>
      </c>
      <c r="N900" s="619"/>
      <c r="O900" s="619">
        <v>11</v>
      </c>
      <c r="P900" s="619" t="s">
        <v>760</v>
      </c>
      <c r="Q900" s="662" t="s">
        <v>1002</v>
      </c>
      <c r="R900" s="618"/>
      <c r="S900" s="621" t="s">
        <v>1720</v>
      </c>
      <c r="T900" s="619" t="s">
        <v>1078</v>
      </c>
    </row>
    <row r="901" spans="1:20">
      <c r="A901" s="630">
        <v>2501530</v>
      </c>
      <c r="B901" s="628"/>
      <c r="C901" s="623"/>
      <c r="D901" s="623"/>
      <c r="E901" s="627" t="s">
        <v>1172</v>
      </c>
      <c r="F901" s="634" t="s">
        <v>1751</v>
      </c>
      <c r="G901" s="629">
        <v>250</v>
      </c>
      <c r="H901" s="635">
        <v>1530</v>
      </c>
      <c r="I901" s="618"/>
      <c r="J901" s="619" t="s">
        <v>1172</v>
      </c>
      <c r="K901" s="618"/>
      <c r="L901" s="619">
        <v>93</v>
      </c>
      <c r="M901" s="620">
        <v>88</v>
      </c>
      <c r="N901" s="619"/>
      <c r="O901" s="619">
        <v>11</v>
      </c>
      <c r="P901" s="619" t="s">
        <v>760</v>
      </c>
      <c r="Q901" s="662" t="s">
        <v>1002</v>
      </c>
      <c r="R901" s="618"/>
      <c r="S901" s="621" t="s">
        <v>1720</v>
      </c>
      <c r="T901" s="619" t="s">
        <v>1079</v>
      </c>
    </row>
    <row r="902" spans="1:20">
      <c r="A902" s="630">
        <v>2601530</v>
      </c>
      <c r="B902" s="628"/>
      <c r="C902" s="623"/>
      <c r="D902" s="623"/>
      <c r="E902" s="627" t="s">
        <v>1174</v>
      </c>
      <c r="F902" s="634" t="s">
        <v>1752</v>
      </c>
      <c r="G902" s="629">
        <v>260</v>
      </c>
      <c r="H902" s="635">
        <v>1530</v>
      </c>
      <c r="I902" s="618"/>
      <c r="J902" s="619" t="s">
        <v>1174</v>
      </c>
      <c r="K902" s="618"/>
      <c r="L902" s="619">
        <v>95</v>
      </c>
      <c r="M902" s="620">
        <v>90</v>
      </c>
      <c r="N902" s="619"/>
      <c r="O902" s="619">
        <v>11</v>
      </c>
      <c r="P902" s="619" t="s">
        <v>760</v>
      </c>
      <c r="Q902" s="662" t="s">
        <v>1002</v>
      </c>
      <c r="R902" s="618"/>
      <c r="S902" s="621" t="s">
        <v>1720</v>
      </c>
      <c r="T902" s="619" t="s">
        <v>1081</v>
      </c>
    </row>
    <row r="903" spans="1:20">
      <c r="A903" s="630">
        <v>2701530</v>
      </c>
      <c r="B903" s="628"/>
      <c r="C903" s="623"/>
      <c r="D903" s="623"/>
      <c r="E903" s="627" t="s">
        <v>1176</v>
      </c>
      <c r="F903" s="634" t="s">
        <v>1753</v>
      </c>
      <c r="G903" s="629">
        <v>270</v>
      </c>
      <c r="H903" s="635">
        <v>1530</v>
      </c>
      <c r="I903" s="618"/>
      <c r="J903" s="619" t="s">
        <v>1176</v>
      </c>
      <c r="K903" s="618"/>
      <c r="L903" s="619">
        <v>94</v>
      </c>
      <c r="M903" s="620">
        <v>89</v>
      </c>
      <c r="N903" s="619"/>
      <c r="O903" s="619">
        <v>11</v>
      </c>
      <c r="P903" s="619" t="s">
        <v>760</v>
      </c>
      <c r="Q903" s="662" t="s">
        <v>1002</v>
      </c>
      <c r="R903" s="618"/>
      <c r="S903" s="621" t="s">
        <v>1720</v>
      </c>
      <c r="T903" s="619" t="s">
        <v>1083</v>
      </c>
    </row>
    <row r="904" spans="1:20">
      <c r="A904" s="630">
        <v>2811530</v>
      </c>
      <c r="B904" s="628"/>
      <c r="C904" s="623"/>
      <c r="D904" s="623"/>
      <c r="E904" s="627" t="s">
        <v>1178</v>
      </c>
      <c r="F904" s="634" t="s">
        <v>1754</v>
      </c>
      <c r="G904" s="629">
        <v>281</v>
      </c>
      <c r="H904" s="635">
        <v>1530</v>
      </c>
      <c r="I904" s="618"/>
      <c r="J904" s="619" t="s">
        <v>1178</v>
      </c>
      <c r="K904" s="618"/>
      <c r="L904" s="619">
        <v>95</v>
      </c>
      <c r="M904" s="620">
        <v>90</v>
      </c>
      <c r="N904" s="619"/>
      <c r="O904" s="619">
        <v>11</v>
      </c>
      <c r="P904" s="619" t="s">
        <v>760</v>
      </c>
      <c r="Q904" s="662" t="s">
        <v>1002</v>
      </c>
      <c r="R904" s="618"/>
      <c r="S904" s="621" t="s">
        <v>1720</v>
      </c>
      <c r="T904" s="619" t="s">
        <v>1085</v>
      </c>
    </row>
    <row r="905" spans="1:20">
      <c r="A905" s="630">
        <v>2821530</v>
      </c>
      <c r="B905" s="628"/>
      <c r="C905" s="623"/>
      <c r="D905" s="623"/>
      <c r="E905" s="627" t="s">
        <v>1180</v>
      </c>
      <c r="F905" s="634" t="s">
        <v>1755</v>
      </c>
      <c r="G905" s="629">
        <v>282</v>
      </c>
      <c r="H905" s="635">
        <v>1530</v>
      </c>
      <c r="I905" s="618"/>
      <c r="J905" s="619" t="s">
        <v>1180</v>
      </c>
      <c r="K905" s="618"/>
      <c r="L905" s="619">
        <v>95</v>
      </c>
      <c r="M905" s="620">
        <v>90</v>
      </c>
      <c r="N905" s="619"/>
      <c r="O905" s="619">
        <v>11</v>
      </c>
      <c r="P905" s="619" t="s">
        <v>760</v>
      </c>
      <c r="Q905" s="662" t="s">
        <v>1002</v>
      </c>
      <c r="R905" s="618"/>
      <c r="S905" s="621" t="s">
        <v>1720</v>
      </c>
      <c r="T905" s="619" t="s">
        <v>1087</v>
      </c>
    </row>
    <row r="906" spans="1:20">
      <c r="A906" s="630">
        <v>2901530</v>
      </c>
      <c r="B906" s="670"/>
      <c r="C906" s="632"/>
      <c r="D906" s="632"/>
      <c r="E906" s="637" t="s">
        <v>1182</v>
      </c>
      <c r="F906" s="631" t="s">
        <v>1756</v>
      </c>
      <c r="G906" s="661">
        <v>290</v>
      </c>
      <c r="H906" s="633">
        <v>1530</v>
      </c>
      <c r="I906" s="618"/>
      <c r="J906" s="619" t="s">
        <v>1182</v>
      </c>
      <c r="K906" s="618"/>
      <c r="L906" s="619">
        <v>95</v>
      </c>
      <c r="M906" s="620">
        <v>90</v>
      </c>
      <c r="N906" s="619"/>
      <c r="O906" s="619">
        <v>11</v>
      </c>
      <c r="P906" s="619" t="s">
        <v>760</v>
      </c>
      <c r="Q906" s="662" t="s">
        <v>1002</v>
      </c>
      <c r="R906" s="618"/>
      <c r="S906" s="621" t="s">
        <v>1720</v>
      </c>
      <c r="T906" s="619" t="s">
        <v>1090</v>
      </c>
    </row>
    <row r="907" spans="1:20">
      <c r="A907" s="622"/>
      <c r="B907" s="628"/>
      <c r="C907" s="629">
        <v>30</v>
      </c>
      <c r="D907" s="774" t="s">
        <v>1757</v>
      </c>
      <c r="E907" s="775"/>
      <c r="F907" s="626"/>
      <c r="G907" s="623"/>
      <c r="H907" s="627"/>
      <c r="I907" s="618"/>
      <c r="J907" s="618"/>
      <c r="K907" s="618"/>
      <c r="L907" s="618"/>
      <c r="M907" s="618"/>
      <c r="N907" s="618"/>
      <c r="O907" s="618"/>
      <c r="P907" s="618"/>
      <c r="Q907" s="662"/>
      <c r="R907" s="618"/>
      <c r="S907" s="621"/>
      <c r="T907" s="618"/>
    </row>
    <row r="908" spans="1:20">
      <c r="A908" s="622"/>
      <c r="B908" s="628"/>
      <c r="C908" s="623"/>
      <c r="D908" s="623" t="s">
        <v>756</v>
      </c>
      <c r="E908" s="627" t="s">
        <v>244</v>
      </c>
      <c r="F908" s="626"/>
      <c r="G908" s="623"/>
      <c r="H908" s="627"/>
      <c r="I908" s="618"/>
      <c r="J908" s="618"/>
      <c r="K908" s="618"/>
      <c r="L908" s="618"/>
      <c r="M908" s="618"/>
      <c r="N908" s="618"/>
      <c r="O908" s="618"/>
      <c r="P908" s="618"/>
      <c r="Q908" s="662"/>
      <c r="R908" s="618"/>
      <c r="S908" s="621"/>
      <c r="T908" s="618"/>
    </row>
    <row r="909" spans="1:20">
      <c r="A909" s="630">
        <v>1121590</v>
      </c>
      <c r="B909" s="628"/>
      <c r="C909" s="623"/>
      <c r="D909" s="623"/>
      <c r="E909" s="627" t="s">
        <v>1096</v>
      </c>
      <c r="F909" s="631" t="s">
        <v>1758</v>
      </c>
      <c r="G909" s="661">
        <v>112</v>
      </c>
      <c r="H909" s="633">
        <v>1590</v>
      </c>
      <c r="I909" s="618"/>
      <c r="J909" s="619" t="s">
        <v>1096</v>
      </c>
      <c r="K909" s="618"/>
      <c r="L909" s="619">
        <v>82</v>
      </c>
      <c r="M909" s="620">
        <v>77</v>
      </c>
      <c r="N909" s="619"/>
      <c r="O909" s="619">
        <v>11</v>
      </c>
      <c r="P909" s="619" t="s">
        <v>760</v>
      </c>
      <c r="Q909" s="662" t="s">
        <v>1002</v>
      </c>
      <c r="R909" s="618"/>
      <c r="S909" s="621" t="s">
        <v>1759</v>
      </c>
      <c r="T909" s="619" t="s">
        <v>5</v>
      </c>
    </row>
    <row r="910" spans="1:20">
      <c r="A910" s="630">
        <v>1151590</v>
      </c>
      <c r="B910" s="628"/>
      <c r="C910" s="623"/>
      <c r="D910" s="623"/>
      <c r="E910" s="627" t="s">
        <v>1099</v>
      </c>
      <c r="F910" s="631" t="s">
        <v>1760</v>
      </c>
      <c r="G910" s="661">
        <v>115</v>
      </c>
      <c r="H910" s="633">
        <v>1590</v>
      </c>
      <c r="I910" s="618"/>
      <c r="J910" s="619" t="s">
        <v>1099</v>
      </c>
      <c r="K910" s="618"/>
      <c r="L910" s="619">
        <v>86</v>
      </c>
      <c r="M910" s="620">
        <v>81</v>
      </c>
      <c r="N910" s="619"/>
      <c r="O910" s="619">
        <v>11</v>
      </c>
      <c r="P910" s="619" t="s">
        <v>760</v>
      </c>
      <c r="Q910" s="662" t="s">
        <v>1002</v>
      </c>
      <c r="R910" s="618"/>
      <c r="S910" s="621" t="s">
        <v>1759</v>
      </c>
      <c r="T910" s="619" t="s">
        <v>1101</v>
      </c>
    </row>
    <row r="911" spans="1:20">
      <c r="A911" s="630">
        <v>1231590</v>
      </c>
      <c r="B911" s="628"/>
      <c r="C911" s="623"/>
      <c r="D911" s="623"/>
      <c r="E911" s="627" t="s">
        <v>1102</v>
      </c>
      <c r="F911" s="631" t="s">
        <v>1761</v>
      </c>
      <c r="G911" s="661">
        <v>123</v>
      </c>
      <c r="H911" s="633">
        <v>1590</v>
      </c>
      <c r="I911" s="618"/>
      <c r="J911" s="619" t="s">
        <v>1102</v>
      </c>
      <c r="K911" s="618"/>
      <c r="L911" s="619">
        <v>86</v>
      </c>
      <c r="M911" s="620">
        <v>81</v>
      </c>
      <c r="N911" s="619"/>
      <c r="O911" s="619">
        <v>11</v>
      </c>
      <c r="P911" s="619" t="s">
        <v>760</v>
      </c>
      <c r="Q911" s="662" t="s">
        <v>1002</v>
      </c>
      <c r="R911" s="618"/>
      <c r="S911" s="621" t="s">
        <v>1759</v>
      </c>
      <c r="T911" s="619" t="s">
        <v>1104</v>
      </c>
    </row>
    <row r="912" spans="1:20">
      <c r="A912" s="630">
        <v>1201590</v>
      </c>
      <c r="B912" s="628"/>
      <c r="C912" s="623"/>
      <c r="D912" s="623"/>
      <c r="E912" s="627" t="s">
        <v>1105</v>
      </c>
      <c r="F912" s="631" t="s">
        <v>1762</v>
      </c>
      <c r="G912" s="661">
        <v>120</v>
      </c>
      <c r="H912" s="633">
        <v>1590</v>
      </c>
      <c r="I912" s="618"/>
      <c r="J912" s="619" t="s">
        <v>1105</v>
      </c>
      <c r="K912" s="618"/>
      <c r="L912" s="619">
        <v>86</v>
      </c>
      <c r="M912" s="620">
        <v>81</v>
      </c>
      <c r="N912" s="619"/>
      <c r="O912" s="619">
        <v>11</v>
      </c>
      <c r="P912" s="619" t="s">
        <v>760</v>
      </c>
      <c r="Q912" s="662" t="s">
        <v>1002</v>
      </c>
      <c r="R912" s="618"/>
      <c r="S912" s="621" t="s">
        <v>1759</v>
      </c>
      <c r="T912" s="619" t="s">
        <v>1107</v>
      </c>
    </row>
    <row r="913" spans="1:20">
      <c r="A913" s="630">
        <v>1001590</v>
      </c>
      <c r="B913" s="628"/>
      <c r="C913" s="623"/>
      <c r="D913" s="623"/>
      <c r="E913" s="627" t="s">
        <v>1108</v>
      </c>
      <c r="F913" s="631" t="s">
        <v>1763</v>
      </c>
      <c r="G913" s="661">
        <v>100</v>
      </c>
      <c r="H913" s="633">
        <v>1590</v>
      </c>
      <c r="I913" s="618"/>
      <c r="J913" s="619" t="s">
        <v>1108</v>
      </c>
      <c r="K913" s="618"/>
      <c r="L913" s="619">
        <v>86</v>
      </c>
      <c r="M913" s="620">
        <v>81</v>
      </c>
      <c r="N913" s="619"/>
      <c r="O913" s="619">
        <v>11</v>
      </c>
      <c r="P913" s="619" t="s">
        <v>760</v>
      </c>
      <c r="Q913" s="662" t="s">
        <v>1002</v>
      </c>
      <c r="R913" s="618"/>
      <c r="S913" s="621" t="s">
        <v>1759</v>
      </c>
      <c r="T913" s="619" t="s">
        <v>1015</v>
      </c>
    </row>
    <row r="914" spans="1:20">
      <c r="A914" s="630">
        <v>1401590</v>
      </c>
      <c r="B914" s="628"/>
      <c r="C914" s="623"/>
      <c r="D914" s="623"/>
      <c r="E914" s="627" t="s">
        <v>1110</v>
      </c>
      <c r="F914" s="631" t="s">
        <v>1764</v>
      </c>
      <c r="G914" s="661">
        <v>140</v>
      </c>
      <c r="H914" s="633">
        <v>1590</v>
      </c>
      <c r="I914" s="618"/>
      <c r="J914" s="619" t="s">
        <v>1110</v>
      </c>
      <c r="K914" s="618"/>
      <c r="L914" s="619">
        <v>86</v>
      </c>
      <c r="M914" s="620">
        <v>81</v>
      </c>
      <c r="N914" s="619"/>
      <c r="O914" s="619">
        <v>11</v>
      </c>
      <c r="P914" s="619" t="s">
        <v>760</v>
      </c>
      <c r="Q914" s="662" t="s">
        <v>1002</v>
      </c>
      <c r="R914" s="618"/>
      <c r="S914" s="621" t="s">
        <v>1759</v>
      </c>
      <c r="T914" s="619" t="s">
        <v>1017</v>
      </c>
    </row>
    <row r="915" spans="1:20">
      <c r="A915" s="630">
        <v>3001590</v>
      </c>
      <c r="B915" s="628"/>
      <c r="C915" s="623"/>
      <c r="D915" s="623" t="s">
        <v>775</v>
      </c>
      <c r="E915" s="627" t="s">
        <v>1112</v>
      </c>
      <c r="F915" s="631" t="s">
        <v>1765</v>
      </c>
      <c r="G915" s="661">
        <v>300</v>
      </c>
      <c r="H915" s="633">
        <v>1590</v>
      </c>
      <c r="I915" s="618"/>
      <c r="J915" s="619" t="s">
        <v>1112</v>
      </c>
      <c r="K915" s="618"/>
      <c r="L915" s="619">
        <v>101</v>
      </c>
      <c r="M915" s="620">
        <v>96</v>
      </c>
      <c r="N915" s="619"/>
      <c r="O915" s="619">
        <v>11</v>
      </c>
      <c r="P915" s="619" t="s">
        <v>760</v>
      </c>
      <c r="Q915" s="662"/>
      <c r="R915" s="618"/>
      <c r="S915" s="621" t="s">
        <v>1759</v>
      </c>
      <c r="T915" s="619" t="s">
        <v>1112</v>
      </c>
    </row>
    <row r="916" spans="1:20">
      <c r="A916" s="622"/>
      <c r="B916" s="628"/>
      <c r="C916" s="623"/>
      <c r="D916" s="623" t="s">
        <v>799</v>
      </c>
      <c r="E916" s="627" t="s">
        <v>250</v>
      </c>
      <c r="F916" s="626"/>
      <c r="G916" s="623"/>
      <c r="H916" s="627"/>
      <c r="I916" s="618"/>
      <c r="J916" s="618"/>
      <c r="K916" s="618"/>
      <c r="L916" s="618"/>
      <c r="M916" s="618"/>
      <c r="N916" s="618"/>
      <c r="O916" s="618"/>
      <c r="P916" s="618"/>
      <c r="Q916" s="662"/>
      <c r="R916" s="618"/>
      <c r="S916" s="621"/>
      <c r="T916" s="618"/>
    </row>
    <row r="917" spans="1:20">
      <c r="A917" s="630">
        <v>4301590</v>
      </c>
      <c r="B917" s="628"/>
      <c r="C917" s="623"/>
      <c r="D917" s="623"/>
      <c r="E917" s="627" t="s">
        <v>1114</v>
      </c>
      <c r="F917" s="631" t="s">
        <v>1766</v>
      </c>
      <c r="G917" s="661">
        <v>430</v>
      </c>
      <c r="H917" s="633">
        <v>1590</v>
      </c>
      <c r="I917" s="618"/>
      <c r="J917" s="619" t="s">
        <v>1114</v>
      </c>
      <c r="K917" s="618"/>
      <c r="L917" s="619">
        <v>107</v>
      </c>
      <c r="M917" s="620">
        <v>102</v>
      </c>
      <c r="N917" s="619"/>
      <c r="O917" s="619">
        <v>11</v>
      </c>
      <c r="P917" s="619" t="s">
        <v>760</v>
      </c>
      <c r="Q917" s="662"/>
      <c r="R917" s="618"/>
      <c r="S917" s="621" t="s">
        <v>1759</v>
      </c>
      <c r="T917" s="619" t="s">
        <v>1021</v>
      </c>
    </row>
    <row r="918" spans="1:20">
      <c r="A918" s="630">
        <v>4421590</v>
      </c>
      <c r="B918" s="628"/>
      <c r="C918" s="623"/>
      <c r="D918" s="623"/>
      <c r="E918" s="627" t="s">
        <v>1116</v>
      </c>
      <c r="F918" s="631" t="s">
        <v>1767</v>
      </c>
      <c r="G918" s="661">
        <v>442</v>
      </c>
      <c r="H918" s="633">
        <v>1590</v>
      </c>
      <c r="I918" s="618"/>
      <c r="J918" s="619" t="s">
        <v>1116</v>
      </c>
      <c r="K918" s="618"/>
      <c r="L918" s="619">
        <v>106</v>
      </c>
      <c r="M918" s="620">
        <v>101</v>
      </c>
      <c r="N918" s="619"/>
      <c r="O918" s="619">
        <v>11</v>
      </c>
      <c r="P918" s="619" t="s">
        <v>760</v>
      </c>
      <c r="Q918" s="662"/>
      <c r="R918" s="618"/>
      <c r="S918" s="621" t="s">
        <v>1759</v>
      </c>
      <c r="T918" s="619" t="s">
        <v>1023</v>
      </c>
    </row>
    <row r="919" spans="1:20">
      <c r="A919" s="630">
        <v>4001590</v>
      </c>
      <c r="B919" s="628"/>
      <c r="C919" s="623"/>
      <c r="D919" s="623"/>
      <c r="E919" s="627" t="s">
        <v>1118</v>
      </c>
      <c r="F919" s="631" t="s">
        <v>1768</v>
      </c>
      <c r="G919" s="661">
        <v>400</v>
      </c>
      <c r="H919" s="633">
        <v>1590</v>
      </c>
      <c r="I919" s="618"/>
      <c r="J919" s="619" t="s">
        <v>1118</v>
      </c>
      <c r="K919" s="618"/>
      <c r="L919" s="619">
        <v>108</v>
      </c>
      <c r="M919" s="620">
        <v>103</v>
      </c>
      <c r="N919" s="619"/>
      <c r="O919" s="619">
        <v>11</v>
      </c>
      <c r="P919" s="619" t="s">
        <v>760</v>
      </c>
      <c r="Q919" s="662"/>
      <c r="R919" s="618"/>
      <c r="S919" s="621" t="s">
        <v>1759</v>
      </c>
      <c r="T919" s="619" t="s">
        <v>1025</v>
      </c>
    </row>
    <row r="920" spans="1:20">
      <c r="A920" s="622"/>
      <c r="B920" s="628"/>
      <c r="C920" s="623"/>
      <c r="D920" s="623" t="s">
        <v>803</v>
      </c>
      <c r="E920" s="627" t="s">
        <v>252</v>
      </c>
      <c r="F920" s="626"/>
      <c r="G920" s="623"/>
      <c r="H920" s="627"/>
      <c r="I920" s="618"/>
      <c r="J920" s="618"/>
      <c r="K920" s="618"/>
      <c r="L920" s="618"/>
      <c r="M920" s="618"/>
      <c r="N920" s="618"/>
      <c r="O920" s="618"/>
      <c r="P920" s="618"/>
      <c r="Q920" s="662"/>
      <c r="R920" s="618"/>
      <c r="S920" s="621"/>
      <c r="T920" s="618"/>
    </row>
    <row r="921" spans="1:20">
      <c r="A921" s="622"/>
      <c r="B921" s="628"/>
      <c r="C921" s="623"/>
      <c r="D921" s="623"/>
      <c r="E921" s="627" t="s">
        <v>1120</v>
      </c>
      <c r="F921" s="626"/>
      <c r="G921" s="623"/>
      <c r="H921" s="627"/>
      <c r="I921" s="618"/>
      <c r="J921" s="618"/>
      <c r="K921" s="618"/>
      <c r="L921" s="618"/>
      <c r="M921" s="618"/>
      <c r="N921" s="618"/>
      <c r="O921" s="618"/>
      <c r="P921" s="618"/>
      <c r="Q921" s="662"/>
      <c r="R921" s="618"/>
      <c r="S921" s="621"/>
      <c r="T921" s="618"/>
    </row>
    <row r="922" spans="1:20">
      <c r="A922" s="630">
        <v>5611590</v>
      </c>
      <c r="B922" s="628"/>
      <c r="C922" s="623"/>
      <c r="D922" s="623"/>
      <c r="E922" s="627" t="s">
        <v>1121</v>
      </c>
      <c r="F922" s="631" t="s">
        <v>1769</v>
      </c>
      <c r="G922" s="661">
        <v>561</v>
      </c>
      <c r="H922" s="633">
        <v>1590</v>
      </c>
      <c r="I922" s="618"/>
      <c r="J922" s="619" t="s">
        <v>1121</v>
      </c>
      <c r="K922" s="618"/>
      <c r="L922" s="619">
        <v>119</v>
      </c>
      <c r="M922" s="620">
        <v>110</v>
      </c>
      <c r="N922" s="619"/>
      <c r="O922" s="619">
        <v>11</v>
      </c>
      <c r="P922" s="619" t="s">
        <v>760</v>
      </c>
      <c r="Q922" s="662"/>
      <c r="R922" s="618"/>
      <c r="S922" s="621" t="s">
        <v>1759</v>
      </c>
      <c r="T922" s="619" t="s">
        <v>1030</v>
      </c>
    </row>
    <row r="923" spans="1:20">
      <c r="A923" s="630">
        <v>5621590</v>
      </c>
      <c r="B923" s="628"/>
      <c r="C923" s="623"/>
      <c r="D923" s="623"/>
      <c r="E923" s="627" t="s">
        <v>1123</v>
      </c>
      <c r="F923" s="631" t="s">
        <v>1770</v>
      </c>
      <c r="G923" s="661">
        <v>562</v>
      </c>
      <c r="H923" s="633">
        <v>1590</v>
      </c>
      <c r="I923" s="618"/>
      <c r="J923" s="619" t="s">
        <v>1123</v>
      </c>
      <c r="K923" s="618"/>
      <c r="L923" s="619">
        <v>119</v>
      </c>
      <c r="M923" s="620">
        <v>110</v>
      </c>
      <c r="N923" s="619"/>
      <c r="O923" s="619">
        <v>11</v>
      </c>
      <c r="P923" s="619" t="s">
        <v>760</v>
      </c>
      <c r="Q923" s="662"/>
      <c r="R923" s="618"/>
      <c r="S923" s="621" t="s">
        <v>1759</v>
      </c>
      <c r="T923" s="619" t="s">
        <v>1033</v>
      </c>
    </row>
    <row r="924" spans="1:20">
      <c r="A924" s="630">
        <v>5631590</v>
      </c>
      <c r="B924" s="628"/>
      <c r="C924" s="623"/>
      <c r="D924" s="623"/>
      <c r="E924" s="627" t="s">
        <v>1304</v>
      </c>
      <c r="F924" s="631" t="s">
        <v>1771</v>
      </c>
      <c r="G924" s="661">
        <v>563</v>
      </c>
      <c r="H924" s="633">
        <v>1590</v>
      </c>
      <c r="I924" s="618"/>
      <c r="J924" s="619" t="s">
        <v>1304</v>
      </c>
      <c r="K924" s="618"/>
      <c r="L924" s="619">
        <v>119</v>
      </c>
      <c r="M924" s="620">
        <v>110</v>
      </c>
      <c r="N924" s="619"/>
      <c r="O924" s="619">
        <v>11</v>
      </c>
      <c r="P924" s="619" t="s">
        <v>760</v>
      </c>
      <c r="Q924" s="662"/>
      <c r="R924" s="618"/>
      <c r="S924" s="621" t="s">
        <v>1759</v>
      </c>
      <c r="T924" s="619" t="s">
        <v>1036</v>
      </c>
    </row>
    <row r="925" spans="1:20">
      <c r="A925" s="630">
        <v>5821590</v>
      </c>
      <c r="B925" s="628"/>
      <c r="C925" s="623"/>
      <c r="D925" s="623"/>
      <c r="E925" s="627" t="s">
        <v>1134</v>
      </c>
      <c r="F925" s="631" t="s">
        <v>1772</v>
      </c>
      <c r="G925" s="661">
        <v>582</v>
      </c>
      <c r="H925" s="633">
        <v>1590</v>
      </c>
      <c r="I925" s="618"/>
      <c r="J925" s="619" t="s">
        <v>1134</v>
      </c>
      <c r="K925" s="618"/>
      <c r="L925" s="619">
        <v>118</v>
      </c>
      <c r="M925" s="620">
        <v>109</v>
      </c>
      <c r="N925" s="619"/>
      <c r="O925" s="619">
        <v>11</v>
      </c>
      <c r="P925" s="619" t="s">
        <v>760</v>
      </c>
      <c r="Q925" s="662"/>
      <c r="R925" s="618"/>
      <c r="S925" s="621" t="s">
        <v>1759</v>
      </c>
      <c r="T925" s="619" t="s">
        <v>1037</v>
      </c>
    </row>
    <row r="926" spans="1:20">
      <c r="A926" s="630">
        <v>5001590</v>
      </c>
      <c r="B926" s="628"/>
      <c r="C926" s="623"/>
      <c r="D926" s="623"/>
      <c r="E926" s="627" t="s">
        <v>1136</v>
      </c>
      <c r="F926" s="631" t="s">
        <v>1773</v>
      </c>
      <c r="G926" s="661">
        <v>500</v>
      </c>
      <c r="H926" s="633">
        <v>1590</v>
      </c>
      <c r="I926" s="618"/>
      <c r="J926" s="619" t="s">
        <v>1136</v>
      </c>
      <c r="K926" s="618"/>
      <c r="L926" s="619">
        <v>119</v>
      </c>
      <c r="M926" s="620">
        <v>110</v>
      </c>
      <c r="N926" s="619"/>
      <c r="O926" s="619">
        <v>11</v>
      </c>
      <c r="P926" s="619" t="s">
        <v>760</v>
      </c>
      <c r="Q926" s="662"/>
      <c r="R926" s="618"/>
      <c r="S926" s="621" t="s">
        <v>1759</v>
      </c>
      <c r="T926" s="619" t="s">
        <v>252</v>
      </c>
    </row>
    <row r="927" spans="1:20">
      <c r="A927" s="622"/>
      <c r="B927" s="628"/>
      <c r="C927" s="623"/>
      <c r="D927" s="623" t="s">
        <v>848</v>
      </c>
      <c r="E927" s="627" t="s">
        <v>1040</v>
      </c>
      <c r="F927" s="626"/>
      <c r="G927" s="623"/>
      <c r="H927" s="627"/>
      <c r="I927" s="618"/>
      <c r="J927" s="618"/>
      <c r="K927" s="618"/>
      <c r="L927" s="618"/>
      <c r="M927" s="618"/>
      <c r="N927" s="618"/>
      <c r="O927" s="618"/>
      <c r="P927" s="618"/>
      <c r="Q927" s="662"/>
      <c r="R927" s="618"/>
      <c r="S927" s="621"/>
      <c r="T927" s="618"/>
    </row>
    <row r="928" spans="1:20">
      <c r="A928" s="630">
        <v>6151590</v>
      </c>
      <c r="B928" s="628"/>
      <c r="C928" s="623"/>
      <c r="D928" s="623"/>
      <c r="E928" s="627" t="s">
        <v>1138</v>
      </c>
      <c r="F928" s="631" t="s">
        <v>1774</v>
      </c>
      <c r="G928" s="661">
        <v>615</v>
      </c>
      <c r="H928" s="633">
        <v>1590</v>
      </c>
      <c r="I928" s="618"/>
      <c r="J928" s="619" t="s">
        <v>1138</v>
      </c>
      <c r="K928" s="618"/>
      <c r="L928" s="619">
        <v>126</v>
      </c>
      <c r="M928" s="620">
        <v>117</v>
      </c>
      <c r="N928" s="619"/>
      <c r="O928" s="619">
        <v>11</v>
      </c>
      <c r="P928" s="619" t="s">
        <v>760</v>
      </c>
      <c r="Q928" s="662" t="s">
        <v>1043</v>
      </c>
      <c r="R928" s="618"/>
      <c r="S928" s="621" t="s">
        <v>1759</v>
      </c>
      <c r="T928" s="619" t="s">
        <v>1041</v>
      </c>
    </row>
    <row r="929" spans="1:20">
      <c r="A929" s="630">
        <v>6101590</v>
      </c>
      <c r="B929" s="628"/>
      <c r="C929" s="623"/>
      <c r="D929" s="623"/>
      <c r="E929" s="627" t="s">
        <v>1140</v>
      </c>
      <c r="F929" s="631" t="s">
        <v>1775</v>
      </c>
      <c r="G929" s="661">
        <v>610</v>
      </c>
      <c r="H929" s="633">
        <v>1590</v>
      </c>
      <c r="I929" s="618"/>
      <c r="J929" s="619" t="s">
        <v>1140</v>
      </c>
      <c r="K929" s="618"/>
      <c r="L929" s="619">
        <v>122</v>
      </c>
      <c r="M929" s="620">
        <v>113</v>
      </c>
      <c r="N929" s="619"/>
      <c r="O929" s="619">
        <v>11</v>
      </c>
      <c r="P929" s="619" t="s">
        <v>760</v>
      </c>
      <c r="Q929" s="662" t="s">
        <v>1043</v>
      </c>
      <c r="R929" s="618"/>
      <c r="S929" s="621" t="s">
        <v>1759</v>
      </c>
      <c r="T929" s="619" t="s">
        <v>39</v>
      </c>
    </row>
    <row r="930" spans="1:20">
      <c r="A930" s="630">
        <v>6421590</v>
      </c>
      <c r="B930" s="628"/>
      <c r="C930" s="623"/>
      <c r="D930" s="623"/>
      <c r="E930" s="627" t="s">
        <v>1142</v>
      </c>
      <c r="F930" s="631" t="s">
        <v>1776</v>
      </c>
      <c r="G930" s="661">
        <v>642</v>
      </c>
      <c r="H930" s="633">
        <v>1590</v>
      </c>
      <c r="I930" s="618"/>
      <c r="J930" s="619" t="s">
        <v>1142</v>
      </c>
      <c r="K930" s="618"/>
      <c r="L930" s="619">
        <v>125</v>
      </c>
      <c r="M930" s="620">
        <v>116</v>
      </c>
      <c r="N930" s="619"/>
      <c r="O930" s="619">
        <v>11</v>
      </c>
      <c r="P930" s="619" t="s">
        <v>760</v>
      </c>
      <c r="Q930" s="662" t="s">
        <v>1043</v>
      </c>
      <c r="R930" s="618"/>
      <c r="S930" s="621" t="s">
        <v>1759</v>
      </c>
      <c r="T930" s="619" t="s">
        <v>1046</v>
      </c>
    </row>
    <row r="931" spans="1:20">
      <c r="A931" s="630">
        <v>6001590</v>
      </c>
      <c r="B931" s="628"/>
      <c r="C931" s="623"/>
      <c r="D931" s="623"/>
      <c r="E931" s="627" t="s">
        <v>1144</v>
      </c>
      <c r="F931" s="631" t="s">
        <v>1777</v>
      </c>
      <c r="G931" s="661">
        <v>600</v>
      </c>
      <c r="H931" s="633">
        <v>1590</v>
      </c>
      <c r="I931" s="618"/>
      <c r="J931" s="619" t="s">
        <v>1144</v>
      </c>
      <c r="K931" s="618"/>
      <c r="L931" s="619">
        <v>126</v>
      </c>
      <c r="M931" s="620">
        <v>117</v>
      </c>
      <c r="N931" s="619"/>
      <c r="O931" s="619">
        <v>11</v>
      </c>
      <c r="P931" s="619" t="s">
        <v>760</v>
      </c>
      <c r="Q931" s="662"/>
      <c r="R931" s="618"/>
      <c r="S931" s="621" t="s">
        <v>1759</v>
      </c>
      <c r="T931" s="619" t="s">
        <v>1048</v>
      </c>
    </row>
    <row r="932" spans="1:20">
      <c r="A932" s="622"/>
      <c r="B932" s="628"/>
      <c r="C932" s="623"/>
      <c r="D932" s="623" t="s">
        <v>851</v>
      </c>
      <c r="E932" s="627" t="s">
        <v>1050</v>
      </c>
      <c r="F932" s="626"/>
      <c r="G932" s="623"/>
      <c r="H932" s="627"/>
      <c r="I932" s="618"/>
      <c r="J932" s="618"/>
      <c r="K932" s="618"/>
      <c r="L932" s="618"/>
      <c r="M932" s="618"/>
      <c r="N932" s="618"/>
      <c r="O932" s="618"/>
      <c r="P932" s="618"/>
      <c r="Q932" s="662"/>
      <c r="R932" s="618"/>
      <c r="S932" s="621"/>
      <c r="T932" s="618"/>
    </row>
    <row r="933" spans="1:20">
      <c r="A933" s="630">
        <v>7341590</v>
      </c>
      <c r="B933" s="628"/>
      <c r="C933" s="623"/>
      <c r="D933" s="623"/>
      <c r="E933" s="627" t="s">
        <v>1146</v>
      </c>
      <c r="F933" s="631" t="s">
        <v>1778</v>
      </c>
      <c r="G933" s="661">
        <v>734</v>
      </c>
      <c r="H933" s="633">
        <v>1590</v>
      </c>
      <c r="I933" s="618"/>
      <c r="J933" s="619" t="s">
        <v>1146</v>
      </c>
      <c r="K933" s="618"/>
      <c r="L933" s="619">
        <v>131</v>
      </c>
      <c r="M933" s="620">
        <v>122</v>
      </c>
      <c r="N933" s="619"/>
      <c r="O933" s="619">
        <v>11</v>
      </c>
      <c r="P933" s="619" t="s">
        <v>760</v>
      </c>
      <c r="Q933" s="662"/>
      <c r="R933" s="618"/>
      <c r="S933" s="621" t="s">
        <v>1759</v>
      </c>
      <c r="T933" s="619" t="s">
        <v>1051</v>
      </c>
    </row>
    <row r="934" spans="1:20">
      <c r="A934" s="630">
        <v>7351590</v>
      </c>
      <c r="B934" s="628"/>
      <c r="C934" s="623"/>
      <c r="D934" s="623"/>
      <c r="E934" s="627" t="s">
        <v>1148</v>
      </c>
      <c r="F934" s="631" t="s">
        <v>1779</v>
      </c>
      <c r="G934" s="661">
        <v>735</v>
      </c>
      <c r="H934" s="633">
        <v>1590</v>
      </c>
      <c r="I934" s="618"/>
      <c r="J934" s="619" t="s">
        <v>1148</v>
      </c>
      <c r="K934" s="618"/>
      <c r="L934" s="619">
        <v>131</v>
      </c>
      <c r="M934" s="620">
        <v>122</v>
      </c>
      <c r="N934" s="619"/>
      <c r="O934" s="619">
        <v>11</v>
      </c>
      <c r="P934" s="619" t="s">
        <v>760</v>
      </c>
      <c r="Q934" s="662"/>
      <c r="R934" s="618"/>
      <c r="S934" s="621" t="s">
        <v>1759</v>
      </c>
      <c r="T934" s="619" t="s">
        <v>1053</v>
      </c>
    </row>
    <row r="935" spans="1:20">
      <c r="A935" s="630">
        <v>7301590</v>
      </c>
      <c r="B935" s="628"/>
      <c r="C935" s="623"/>
      <c r="D935" s="623"/>
      <c r="E935" s="627" t="s">
        <v>1150</v>
      </c>
      <c r="F935" s="631" t="s">
        <v>1780</v>
      </c>
      <c r="G935" s="661">
        <v>730</v>
      </c>
      <c r="H935" s="633">
        <v>1590</v>
      </c>
      <c r="I935" s="618"/>
      <c r="J935" s="619" t="s">
        <v>1150</v>
      </c>
      <c r="K935" s="618"/>
      <c r="L935" s="619">
        <v>131</v>
      </c>
      <c r="M935" s="620">
        <v>122</v>
      </c>
      <c r="N935" s="619"/>
      <c r="O935" s="619">
        <v>11</v>
      </c>
      <c r="P935" s="619" t="s">
        <v>760</v>
      </c>
      <c r="Q935" s="662"/>
      <c r="R935" s="618"/>
      <c r="S935" s="621" t="s">
        <v>1759</v>
      </c>
      <c r="T935" s="619" t="s">
        <v>1055</v>
      </c>
    </row>
    <row r="936" spans="1:20">
      <c r="A936" s="630">
        <v>7001590</v>
      </c>
      <c r="B936" s="628"/>
      <c r="C936" s="623"/>
      <c r="D936" s="623"/>
      <c r="E936" s="627" t="s">
        <v>1152</v>
      </c>
      <c r="F936" s="631" t="s">
        <v>1781</v>
      </c>
      <c r="G936" s="661">
        <v>700</v>
      </c>
      <c r="H936" s="633">
        <v>1590</v>
      </c>
      <c r="I936" s="618"/>
      <c r="J936" s="619" t="s">
        <v>1152</v>
      </c>
      <c r="K936" s="618"/>
      <c r="L936" s="619">
        <v>132</v>
      </c>
      <c r="M936" s="620">
        <v>123</v>
      </c>
      <c r="N936" s="619"/>
      <c r="O936" s="619">
        <v>11</v>
      </c>
      <c r="P936" s="619" t="s">
        <v>760</v>
      </c>
      <c r="Q936" s="662"/>
      <c r="R936" s="618"/>
      <c r="S936" s="621" t="s">
        <v>1759</v>
      </c>
      <c r="T936" s="619" t="s">
        <v>1057</v>
      </c>
    </row>
    <row r="937" spans="1:20">
      <c r="A937" s="622"/>
      <c r="B937" s="628"/>
      <c r="C937" s="623"/>
      <c r="D937" s="623" t="s">
        <v>854</v>
      </c>
      <c r="E937" s="627" t="s">
        <v>256</v>
      </c>
      <c r="F937" s="626"/>
      <c r="G937" s="623"/>
      <c r="H937" s="627"/>
      <c r="I937" s="618"/>
      <c r="J937" s="618"/>
      <c r="K937" s="618"/>
      <c r="L937" s="618"/>
      <c r="M937" s="618"/>
      <c r="N937" s="618"/>
      <c r="O937" s="618"/>
      <c r="P937" s="618"/>
      <c r="Q937" s="662"/>
      <c r="R937" s="618"/>
      <c r="S937" s="621"/>
      <c r="T937" s="618"/>
    </row>
    <row r="938" spans="1:20">
      <c r="A938" s="630">
        <v>8951590</v>
      </c>
      <c r="B938" s="628"/>
      <c r="C938" s="623"/>
      <c r="D938" s="623"/>
      <c r="E938" s="627" t="s">
        <v>1154</v>
      </c>
      <c r="F938" s="631" t="s">
        <v>1782</v>
      </c>
      <c r="G938" s="661">
        <v>895</v>
      </c>
      <c r="H938" s="633">
        <v>1590</v>
      </c>
      <c r="I938" s="618"/>
      <c r="J938" s="619" t="s">
        <v>1154</v>
      </c>
      <c r="K938" s="618"/>
      <c r="L938" s="619">
        <v>139</v>
      </c>
      <c r="M938" s="620">
        <v>129</v>
      </c>
      <c r="N938" s="619"/>
      <c r="O938" s="619">
        <v>11</v>
      </c>
      <c r="P938" s="619" t="s">
        <v>760</v>
      </c>
      <c r="Q938" s="662"/>
      <c r="R938" s="618"/>
      <c r="S938" s="621" t="s">
        <v>1759</v>
      </c>
      <c r="T938" s="619" t="s">
        <v>1059</v>
      </c>
    </row>
    <row r="939" spans="1:20">
      <c r="A939" s="630">
        <v>8001590</v>
      </c>
      <c r="B939" s="628"/>
      <c r="C939" s="623"/>
      <c r="D939" s="623"/>
      <c r="E939" s="627" t="s">
        <v>1156</v>
      </c>
      <c r="F939" s="631" t="s">
        <v>1783</v>
      </c>
      <c r="G939" s="661">
        <v>800</v>
      </c>
      <c r="H939" s="633">
        <v>1590</v>
      </c>
      <c r="I939" s="618"/>
      <c r="J939" s="619" t="s">
        <v>1156</v>
      </c>
      <c r="K939" s="618"/>
      <c r="L939" s="619">
        <v>139</v>
      </c>
      <c r="M939" s="620">
        <v>129</v>
      </c>
      <c r="N939" s="619"/>
      <c r="O939" s="619">
        <v>11</v>
      </c>
      <c r="P939" s="619" t="s">
        <v>760</v>
      </c>
      <c r="Q939" s="662"/>
      <c r="R939" s="618"/>
      <c r="S939" s="621" t="s">
        <v>1759</v>
      </c>
      <c r="T939" s="619" t="s">
        <v>1061</v>
      </c>
    </row>
    <row r="940" spans="1:20">
      <c r="A940" s="622"/>
      <c r="B940" s="628"/>
      <c r="C940" s="623"/>
      <c r="D940" s="623" t="s">
        <v>857</v>
      </c>
      <c r="E940" s="627" t="s">
        <v>1063</v>
      </c>
      <c r="F940" s="626"/>
      <c r="G940" s="623"/>
      <c r="H940" s="627"/>
      <c r="I940" s="618"/>
      <c r="J940" s="618"/>
      <c r="K940" s="618"/>
      <c r="L940" s="618"/>
      <c r="M940" s="618"/>
      <c r="N940" s="618"/>
      <c r="O940" s="618"/>
      <c r="P940" s="618"/>
      <c r="Q940" s="662"/>
      <c r="R940" s="618"/>
      <c r="S940" s="621"/>
      <c r="T940" s="618"/>
    </row>
    <row r="941" spans="1:20">
      <c r="A941" s="630">
        <v>2101590</v>
      </c>
      <c r="B941" s="628"/>
      <c r="C941" s="623"/>
      <c r="D941" s="623"/>
      <c r="E941" s="627" t="s">
        <v>1158</v>
      </c>
      <c r="F941" s="631" t="s">
        <v>1784</v>
      </c>
      <c r="G941" s="661">
        <v>210</v>
      </c>
      <c r="H941" s="633">
        <v>1590</v>
      </c>
      <c r="I941" s="618"/>
      <c r="J941" s="619" t="s">
        <v>1158</v>
      </c>
      <c r="K941" s="618"/>
      <c r="L941" s="619">
        <v>89</v>
      </c>
      <c r="M941" s="620">
        <v>84</v>
      </c>
      <c r="N941" s="619"/>
      <c r="O941" s="619">
        <v>11</v>
      </c>
      <c r="P941" s="619" t="s">
        <v>760</v>
      </c>
      <c r="Q941" s="662" t="s">
        <v>1002</v>
      </c>
      <c r="R941" s="618"/>
      <c r="S941" s="621" t="s">
        <v>1759</v>
      </c>
      <c r="T941" s="619" t="s">
        <v>1064</v>
      </c>
    </row>
    <row r="942" spans="1:20">
      <c r="A942" s="630">
        <v>2201590</v>
      </c>
      <c r="B942" s="628"/>
      <c r="C942" s="623"/>
      <c r="D942" s="623"/>
      <c r="E942" s="627" t="s">
        <v>1160</v>
      </c>
      <c r="F942" s="631" t="s">
        <v>1785</v>
      </c>
      <c r="G942" s="661">
        <v>220</v>
      </c>
      <c r="H942" s="633">
        <v>1590</v>
      </c>
      <c r="I942" s="618"/>
      <c r="J942" s="619" t="s">
        <v>1160</v>
      </c>
      <c r="K942" s="618"/>
      <c r="L942" s="619">
        <v>90</v>
      </c>
      <c r="M942" s="620">
        <v>85</v>
      </c>
      <c r="N942" s="619"/>
      <c r="O942" s="619">
        <v>11</v>
      </c>
      <c r="P942" s="619" t="s">
        <v>760</v>
      </c>
      <c r="Q942" s="662" t="s">
        <v>1002</v>
      </c>
      <c r="R942" s="618"/>
      <c r="S942" s="621" t="s">
        <v>1759</v>
      </c>
      <c r="T942" s="619" t="s">
        <v>1066</v>
      </c>
    </row>
    <row r="943" spans="1:20">
      <c r="A943" s="630">
        <v>2251590</v>
      </c>
      <c r="B943" s="628"/>
      <c r="C943" s="623"/>
      <c r="D943" s="623"/>
      <c r="E943" s="627" t="s">
        <v>1162</v>
      </c>
      <c r="F943" s="631" t="s">
        <v>1786</v>
      </c>
      <c r="G943" s="661">
        <v>225</v>
      </c>
      <c r="H943" s="633">
        <v>1590</v>
      </c>
      <c r="I943" s="618"/>
      <c r="J943" s="619" t="s">
        <v>1162</v>
      </c>
      <c r="K943" s="618"/>
      <c r="L943" s="619">
        <v>91</v>
      </c>
      <c r="M943" s="620">
        <v>86</v>
      </c>
      <c r="N943" s="619"/>
      <c r="O943" s="619">
        <v>11</v>
      </c>
      <c r="P943" s="619" t="s">
        <v>760</v>
      </c>
      <c r="Q943" s="662" t="s">
        <v>1002</v>
      </c>
      <c r="R943" s="618"/>
      <c r="S943" s="621" t="s">
        <v>1759</v>
      </c>
      <c r="T943" s="619" t="s">
        <v>23</v>
      </c>
    </row>
    <row r="944" spans="1:20">
      <c r="A944" s="622"/>
      <c r="B944" s="628"/>
      <c r="C944" s="623"/>
      <c r="D944" s="623"/>
      <c r="E944" s="627" t="s">
        <v>1164</v>
      </c>
      <c r="F944" s="626"/>
      <c r="G944" s="623"/>
      <c r="H944" s="627"/>
      <c r="I944" s="618"/>
      <c r="J944" s="618"/>
      <c r="K944" s="618"/>
      <c r="L944" s="618"/>
      <c r="M944" s="618"/>
      <c r="N944" s="618"/>
      <c r="O944" s="618"/>
      <c r="P944" s="618"/>
      <c r="Q944" s="662"/>
      <c r="R944" s="618"/>
      <c r="S944" s="621"/>
      <c r="T944" s="618"/>
    </row>
    <row r="945" spans="1:20">
      <c r="A945" s="630">
        <v>2311590</v>
      </c>
      <c r="B945" s="628"/>
      <c r="C945" s="623"/>
      <c r="D945" s="623"/>
      <c r="E945" s="627" t="s">
        <v>1165</v>
      </c>
      <c r="F945" s="631" t="s">
        <v>1787</v>
      </c>
      <c r="G945" s="661">
        <v>231</v>
      </c>
      <c r="H945" s="633">
        <v>1590</v>
      </c>
      <c r="I945" s="618"/>
      <c r="J945" s="619" t="s">
        <v>1165</v>
      </c>
      <c r="K945" s="618"/>
      <c r="L945" s="619">
        <v>92</v>
      </c>
      <c r="M945" s="620">
        <v>87</v>
      </c>
      <c r="N945" s="619"/>
      <c r="O945" s="619">
        <v>11</v>
      </c>
      <c r="P945" s="619" t="s">
        <v>760</v>
      </c>
      <c r="Q945" s="662" t="s">
        <v>1002</v>
      </c>
      <c r="R945" s="618"/>
      <c r="S945" s="621" t="s">
        <v>1759</v>
      </c>
      <c r="T945" s="619" t="s">
        <v>1072</v>
      </c>
    </row>
    <row r="946" spans="1:20">
      <c r="A946" s="630">
        <v>2331590</v>
      </c>
      <c r="B946" s="628"/>
      <c r="C946" s="623"/>
      <c r="D946" s="623"/>
      <c r="E946" s="627" t="s">
        <v>1167</v>
      </c>
      <c r="F946" s="631" t="s">
        <v>1788</v>
      </c>
      <c r="G946" s="661">
        <v>233</v>
      </c>
      <c r="H946" s="633">
        <v>1590</v>
      </c>
      <c r="I946" s="618"/>
      <c r="J946" s="619" t="s">
        <v>1167</v>
      </c>
      <c r="K946" s="618"/>
      <c r="L946" s="619">
        <v>92</v>
      </c>
      <c r="M946" s="620">
        <v>87</v>
      </c>
      <c r="N946" s="619"/>
      <c r="O946" s="619">
        <v>11</v>
      </c>
      <c r="P946" s="619" t="s">
        <v>760</v>
      </c>
      <c r="Q946" s="662" t="s">
        <v>1002</v>
      </c>
      <c r="R946" s="618"/>
      <c r="S946" s="621" t="s">
        <v>1759</v>
      </c>
      <c r="T946" s="619" t="s">
        <v>1169</v>
      </c>
    </row>
    <row r="947" spans="1:20">
      <c r="A947" s="630">
        <v>2391590</v>
      </c>
      <c r="B947" s="628"/>
      <c r="C947" s="623"/>
      <c r="D947" s="623"/>
      <c r="E947" s="627" t="s">
        <v>1170</v>
      </c>
      <c r="F947" s="631" t="s">
        <v>1789</v>
      </c>
      <c r="G947" s="661">
        <v>239</v>
      </c>
      <c r="H947" s="633">
        <v>1590</v>
      </c>
      <c r="I947" s="618"/>
      <c r="J947" s="619" t="s">
        <v>1170</v>
      </c>
      <c r="K947" s="618"/>
      <c r="L947" s="619">
        <v>92</v>
      </c>
      <c r="M947" s="620">
        <v>87</v>
      </c>
      <c r="N947" s="619"/>
      <c r="O947" s="619">
        <v>11</v>
      </c>
      <c r="P947" s="619" t="s">
        <v>760</v>
      </c>
      <c r="Q947" s="662" t="s">
        <v>1002</v>
      </c>
      <c r="R947" s="618"/>
      <c r="S947" s="621" t="s">
        <v>1759</v>
      </c>
      <c r="T947" s="619" t="s">
        <v>1078</v>
      </c>
    </row>
    <row r="948" spans="1:20">
      <c r="A948" s="630">
        <v>2501590</v>
      </c>
      <c r="B948" s="628"/>
      <c r="C948" s="623"/>
      <c r="D948" s="623"/>
      <c r="E948" s="627" t="s">
        <v>1172</v>
      </c>
      <c r="F948" s="631" t="s">
        <v>1790</v>
      </c>
      <c r="G948" s="661">
        <v>250</v>
      </c>
      <c r="H948" s="633">
        <v>1590</v>
      </c>
      <c r="I948" s="618"/>
      <c r="J948" s="619" t="s">
        <v>1172</v>
      </c>
      <c r="K948" s="618"/>
      <c r="L948" s="619">
        <v>93</v>
      </c>
      <c r="M948" s="620">
        <v>88</v>
      </c>
      <c r="N948" s="619"/>
      <c r="O948" s="619">
        <v>11</v>
      </c>
      <c r="P948" s="619" t="s">
        <v>760</v>
      </c>
      <c r="Q948" s="662" t="s">
        <v>1002</v>
      </c>
      <c r="R948" s="618"/>
      <c r="S948" s="621" t="s">
        <v>1759</v>
      </c>
      <c r="T948" s="619" t="s">
        <v>1079</v>
      </c>
    </row>
    <row r="949" spans="1:20">
      <c r="A949" s="630">
        <v>2601590</v>
      </c>
      <c r="B949" s="628"/>
      <c r="C949" s="623"/>
      <c r="D949" s="623"/>
      <c r="E949" s="627" t="s">
        <v>1174</v>
      </c>
      <c r="F949" s="631" t="s">
        <v>1791</v>
      </c>
      <c r="G949" s="661">
        <v>260</v>
      </c>
      <c r="H949" s="633">
        <v>1590</v>
      </c>
      <c r="I949" s="618"/>
      <c r="J949" s="619" t="s">
        <v>1174</v>
      </c>
      <c r="K949" s="618"/>
      <c r="L949" s="619">
        <v>95</v>
      </c>
      <c r="M949" s="620">
        <v>90</v>
      </c>
      <c r="N949" s="619"/>
      <c r="O949" s="619">
        <v>11</v>
      </c>
      <c r="P949" s="619" t="s">
        <v>760</v>
      </c>
      <c r="Q949" s="662" t="s">
        <v>1002</v>
      </c>
      <c r="R949" s="618"/>
      <c r="S949" s="621" t="s">
        <v>1759</v>
      </c>
      <c r="T949" s="619" t="s">
        <v>1081</v>
      </c>
    </row>
    <row r="950" spans="1:20">
      <c r="A950" s="630">
        <v>2701590</v>
      </c>
      <c r="B950" s="628"/>
      <c r="C950" s="623"/>
      <c r="D950" s="623"/>
      <c r="E950" s="627" t="s">
        <v>1176</v>
      </c>
      <c r="F950" s="631" t="s">
        <v>1792</v>
      </c>
      <c r="G950" s="661">
        <v>270</v>
      </c>
      <c r="H950" s="633">
        <v>1590</v>
      </c>
      <c r="I950" s="618"/>
      <c r="J950" s="619" t="s">
        <v>1176</v>
      </c>
      <c r="K950" s="618"/>
      <c r="L950" s="619">
        <v>94</v>
      </c>
      <c r="M950" s="620">
        <v>89</v>
      </c>
      <c r="N950" s="619"/>
      <c r="O950" s="619">
        <v>11</v>
      </c>
      <c r="P950" s="619" t="s">
        <v>760</v>
      </c>
      <c r="Q950" s="662" t="s">
        <v>1002</v>
      </c>
      <c r="R950" s="618"/>
      <c r="S950" s="621" t="s">
        <v>1759</v>
      </c>
      <c r="T950" s="619" t="s">
        <v>1083</v>
      </c>
    </row>
    <row r="951" spans="1:20">
      <c r="A951" s="630">
        <v>2811590</v>
      </c>
      <c r="B951" s="628"/>
      <c r="C951" s="623"/>
      <c r="D951" s="623"/>
      <c r="E951" s="627" t="s">
        <v>1178</v>
      </c>
      <c r="F951" s="631" t="s">
        <v>1793</v>
      </c>
      <c r="G951" s="661">
        <v>281</v>
      </c>
      <c r="H951" s="633">
        <v>1590</v>
      </c>
      <c r="I951" s="618"/>
      <c r="J951" s="619" t="s">
        <v>1178</v>
      </c>
      <c r="K951" s="618"/>
      <c r="L951" s="619">
        <v>95</v>
      </c>
      <c r="M951" s="620">
        <v>90</v>
      </c>
      <c r="N951" s="619"/>
      <c r="O951" s="619">
        <v>11</v>
      </c>
      <c r="P951" s="619" t="s">
        <v>760</v>
      </c>
      <c r="Q951" s="662" t="s">
        <v>1002</v>
      </c>
      <c r="R951" s="618"/>
      <c r="S951" s="621" t="s">
        <v>1759</v>
      </c>
      <c r="T951" s="619" t="s">
        <v>1085</v>
      </c>
    </row>
    <row r="952" spans="1:20">
      <c r="A952" s="630">
        <v>2821590</v>
      </c>
      <c r="B952" s="628"/>
      <c r="C952" s="623"/>
      <c r="D952" s="623"/>
      <c r="E952" s="627" t="s">
        <v>1180</v>
      </c>
      <c r="F952" s="631" t="s">
        <v>1794</v>
      </c>
      <c r="G952" s="661">
        <v>282</v>
      </c>
      <c r="H952" s="633">
        <v>1590</v>
      </c>
      <c r="I952" s="618"/>
      <c r="J952" s="619" t="s">
        <v>1180</v>
      </c>
      <c r="K952" s="618"/>
      <c r="L952" s="619">
        <v>95</v>
      </c>
      <c r="M952" s="620">
        <v>90</v>
      </c>
      <c r="N952" s="619"/>
      <c r="O952" s="619">
        <v>11</v>
      </c>
      <c r="P952" s="619" t="s">
        <v>760</v>
      </c>
      <c r="Q952" s="662" t="s">
        <v>1002</v>
      </c>
      <c r="R952" s="618"/>
      <c r="S952" s="621" t="s">
        <v>1759</v>
      </c>
      <c r="T952" s="619" t="s">
        <v>1087</v>
      </c>
    </row>
    <row r="953" spans="1:20" ht="16" thickBot="1">
      <c r="A953" s="630">
        <v>2901590</v>
      </c>
      <c r="B953" s="667"/>
      <c r="C953" s="623"/>
      <c r="D953" s="623"/>
      <c r="E953" s="627" t="s">
        <v>1182</v>
      </c>
      <c r="F953" s="634" t="s">
        <v>1795</v>
      </c>
      <c r="G953" s="629">
        <v>290</v>
      </c>
      <c r="H953" s="635">
        <v>1590</v>
      </c>
      <c r="I953" s="618"/>
      <c r="J953" s="619" t="s">
        <v>1182</v>
      </c>
      <c r="K953" s="618"/>
      <c r="L953" s="619">
        <v>95</v>
      </c>
      <c r="M953" s="620">
        <v>90</v>
      </c>
      <c r="N953" s="619"/>
      <c r="O953" s="619">
        <v>12</v>
      </c>
      <c r="P953" s="619" t="s">
        <v>760</v>
      </c>
      <c r="Q953" s="662" t="s">
        <v>1002</v>
      </c>
      <c r="R953" s="618"/>
      <c r="S953" s="621" t="s">
        <v>1759</v>
      </c>
      <c r="T953" s="619" t="s">
        <v>1090</v>
      </c>
    </row>
    <row r="954" spans="1:20" ht="16.5" thickTop="1" thickBot="1">
      <c r="A954" s="622"/>
      <c r="B954" s="613"/>
      <c r="C954" s="772" t="s">
        <v>1796</v>
      </c>
      <c r="D954" s="773"/>
      <c r="E954" s="782"/>
      <c r="F954" s="656" t="s">
        <v>607</v>
      </c>
      <c r="G954" s="657"/>
      <c r="H954" s="658"/>
      <c r="I954" s="618"/>
      <c r="J954" s="618"/>
      <c r="K954" s="618"/>
      <c r="L954" s="618"/>
      <c r="M954" s="618"/>
      <c r="N954" s="618"/>
      <c r="O954" s="618"/>
      <c r="P954" s="618"/>
      <c r="Q954" s="662"/>
      <c r="R954" s="618"/>
      <c r="S954" s="621"/>
      <c r="T954" s="618"/>
    </row>
    <row r="955" spans="1:20" ht="16" thickTop="1">
      <c r="A955" s="622"/>
      <c r="B955" s="623"/>
      <c r="C955" s="623"/>
      <c r="D955" s="623"/>
      <c r="E955" s="627"/>
      <c r="F955" s="626"/>
      <c r="G955" s="623"/>
      <c r="H955" s="627"/>
      <c r="I955" s="618"/>
      <c r="J955" s="618"/>
      <c r="K955" s="618"/>
      <c r="L955" s="618"/>
      <c r="M955" s="618"/>
      <c r="N955" s="618"/>
      <c r="O955" s="618"/>
      <c r="P955" s="618"/>
      <c r="Q955" s="662"/>
      <c r="R955" s="618"/>
      <c r="S955" s="621"/>
      <c r="T955" s="618"/>
    </row>
    <row r="956" spans="1:20">
      <c r="A956" s="622"/>
      <c r="B956" s="628" t="s">
        <v>1797</v>
      </c>
      <c r="C956" s="770" t="s">
        <v>1798</v>
      </c>
      <c r="D956" s="771"/>
      <c r="E956" s="775"/>
      <c r="F956" s="626"/>
      <c r="G956" s="623"/>
      <c r="H956" s="627"/>
      <c r="I956" s="618"/>
      <c r="J956" s="618"/>
      <c r="K956" s="618"/>
      <c r="L956" s="618"/>
      <c r="M956" s="618"/>
      <c r="N956" s="618"/>
      <c r="O956" s="618"/>
      <c r="P956" s="618"/>
      <c r="Q956" s="662"/>
      <c r="R956" s="618"/>
      <c r="S956" s="621"/>
      <c r="T956" s="618"/>
    </row>
    <row r="957" spans="1:20">
      <c r="A957" s="622"/>
      <c r="B957" s="628"/>
      <c r="C957" s="629">
        <v>31</v>
      </c>
      <c r="D957" s="774" t="s">
        <v>244</v>
      </c>
      <c r="E957" s="775"/>
      <c r="F957" s="626"/>
      <c r="G957" s="623"/>
      <c r="H957" s="627"/>
      <c r="I957" s="618"/>
      <c r="J957" s="618"/>
      <c r="K957" s="618"/>
      <c r="L957" s="618"/>
      <c r="M957" s="618"/>
      <c r="N957" s="618"/>
      <c r="O957" s="618"/>
      <c r="P957" s="618"/>
      <c r="Q957" s="662"/>
      <c r="R957" s="618"/>
      <c r="S957" s="621"/>
      <c r="T957" s="618"/>
    </row>
    <row r="958" spans="1:20">
      <c r="A958" s="630">
        <v>1121600</v>
      </c>
      <c r="B958" s="628"/>
      <c r="C958" s="623"/>
      <c r="D958" s="623" t="s">
        <v>756</v>
      </c>
      <c r="E958" s="627" t="s">
        <v>5</v>
      </c>
      <c r="F958" s="631" t="s">
        <v>1799</v>
      </c>
      <c r="G958" s="661">
        <v>112</v>
      </c>
      <c r="H958" s="633">
        <v>1600</v>
      </c>
      <c r="I958" s="618"/>
      <c r="J958" s="619" t="s">
        <v>5</v>
      </c>
      <c r="K958" s="618"/>
      <c r="L958" s="619">
        <v>82</v>
      </c>
      <c r="M958" s="620">
        <v>77</v>
      </c>
      <c r="N958" s="619"/>
      <c r="O958" s="619">
        <v>12</v>
      </c>
      <c r="P958" s="619" t="s">
        <v>760</v>
      </c>
      <c r="Q958" s="662" t="s">
        <v>1002</v>
      </c>
      <c r="R958" s="618"/>
      <c r="S958" s="621" t="s">
        <v>1800</v>
      </c>
      <c r="T958" s="619" t="s">
        <v>5</v>
      </c>
    </row>
    <row r="959" spans="1:20">
      <c r="A959" s="630">
        <v>1151600</v>
      </c>
      <c r="B959" s="628"/>
      <c r="C959" s="623"/>
      <c r="D959" s="623" t="s">
        <v>775</v>
      </c>
      <c r="E959" s="627" t="s">
        <v>1101</v>
      </c>
      <c r="F959" s="631" t="s">
        <v>1801</v>
      </c>
      <c r="G959" s="661">
        <v>115</v>
      </c>
      <c r="H959" s="633">
        <v>1600</v>
      </c>
      <c r="I959" s="618"/>
      <c r="J959" s="619" t="s">
        <v>1101</v>
      </c>
      <c r="K959" s="618"/>
      <c r="L959" s="619">
        <v>86</v>
      </c>
      <c r="M959" s="620">
        <v>81</v>
      </c>
      <c r="N959" s="619"/>
      <c r="O959" s="619">
        <v>12</v>
      </c>
      <c r="P959" s="619" t="s">
        <v>760</v>
      </c>
      <c r="Q959" s="662" t="s">
        <v>1002</v>
      </c>
      <c r="R959" s="618"/>
      <c r="S959" s="621" t="s">
        <v>1800</v>
      </c>
      <c r="T959" s="619" t="s">
        <v>1101</v>
      </c>
    </row>
    <row r="960" spans="1:20">
      <c r="A960" s="630">
        <v>1231600</v>
      </c>
      <c r="B960" s="628"/>
      <c r="C960" s="623"/>
      <c r="D960" s="623" t="s">
        <v>799</v>
      </c>
      <c r="E960" s="627" t="s">
        <v>1104</v>
      </c>
      <c r="F960" s="631" t="s">
        <v>1802</v>
      </c>
      <c r="G960" s="661">
        <v>123</v>
      </c>
      <c r="H960" s="633">
        <v>1600</v>
      </c>
      <c r="I960" s="618"/>
      <c r="J960" s="619" t="s">
        <v>1104</v>
      </c>
      <c r="K960" s="618"/>
      <c r="L960" s="619">
        <v>86</v>
      </c>
      <c r="M960" s="620">
        <v>81</v>
      </c>
      <c r="N960" s="619"/>
      <c r="O960" s="619">
        <v>12</v>
      </c>
      <c r="P960" s="619" t="s">
        <v>760</v>
      </c>
      <c r="Q960" s="662" t="s">
        <v>1002</v>
      </c>
      <c r="R960" s="618"/>
      <c r="S960" s="621" t="s">
        <v>1800</v>
      </c>
      <c r="T960" s="619" t="s">
        <v>1104</v>
      </c>
    </row>
    <row r="961" spans="1:20">
      <c r="A961" s="630">
        <v>1201600</v>
      </c>
      <c r="B961" s="628"/>
      <c r="C961" s="623"/>
      <c r="D961" s="623" t="s">
        <v>803</v>
      </c>
      <c r="E961" s="627" t="s">
        <v>1107</v>
      </c>
      <c r="F961" s="631" t="s">
        <v>1803</v>
      </c>
      <c r="G961" s="661">
        <v>120</v>
      </c>
      <c r="H961" s="633">
        <v>1600</v>
      </c>
      <c r="I961" s="618"/>
      <c r="J961" s="619" t="s">
        <v>1107</v>
      </c>
      <c r="K961" s="618"/>
      <c r="L961" s="619">
        <v>86</v>
      </c>
      <c r="M961" s="620">
        <v>81</v>
      </c>
      <c r="N961" s="619"/>
      <c r="O961" s="619">
        <v>12</v>
      </c>
      <c r="P961" s="619" t="s">
        <v>760</v>
      </c>
      <c r="Q961" s="662" t="s">
        <v>1002</v>
      </c>
      <c r="R961" s="618"/>
      <c r="S961" s="621" t="s">
        <v>1800</v>
      </c>
      <c r="T961" s="619" t="s">
        <v>1107</v>
      </c>
    </row>
    <row r="962" spans="1:20">
      <c r="A962" s="630">
        <v>1001600</v>
      </c>
      <c r="B962" s="628"/>
      <c r="C962" s="623"/>
      <c r="D962" s="623" t="s">
        <v>848</v>
      </c>
      <c r="E962" s="627" t="s">
        <v>1015</v>
      </c>
      <c r="F962" s="631" t="s">
        <v>1804</v>
      </c>
      <c r="G962" s="661">
        <v>100</v>
      </c>
      <c r="H962" s="633">
        <v>1600</v>
      </c>
      <c r="I962" s="618"/>
      <c r="J962" s="619" t="s">
        <v>1015</v>
      </c>
      <c r="K962" s="618"/>
      <c r="L962" s="619">
        <v>86</v>
      </c>
      <c r="M962" s="620">
        <v>81</v>
      </c>
      <c r="N962" s="619"/>
      <c r="O962" s="619">
        <v>12</v>
      </c>
      <c r="P962" s="619" t="s">
        <v>760</v>
      </c>
      <c r="Q962" s="662" t="s">
        <v>1002</v>
      </c>
      <c r="R962" s="618"/>
      <c r="S962" s="621" t="s">
        <v>1800</v>
      </c>
      <c r="T962" s="619" t="s">
        <v>1015</v>
      </c>
    </row>
    <row r="963" spans="1:20">
      <c r="A963" s="630">
        <v>1401600</v>
      </c>
      <c r="B963" s="628"/>
      <c r="C963" s="623"/>
      <c r="D963" s="623" t="s">
        <v>851</v>
      </c>
      <c r="E963" s="627" t="s">
        <v>1017</v>
      </c>
      <c r="F963" s="631" t="s">
        <v>1805</v>
      </c>
      <c r="G963" s="661">
        <v>140</v>
      </c>
      <c r="H963" s="633">
        <v>1600</v>
      </c>
      <c r="I963" s="618"/>
      <c r="J963" s="619" t="s">
        <v>1017</v>
      </c>
      <c r="K963" s="618"/>
      <c r="L963" s="619">
        <v>86</v>
      </c>
      <c r="M963" s="620">
        <v>81</v>
      </c>
      <c r="N963" s="619"/>
      <c r="O963" s="619">
        <v>12</v>
      </c>
      <c r="P963" s="619" t="s">
        <v>760</v>
      </c>
      <c r="Q963" s="662" t="s">
        <v>1002</v>
      </c>
      <c r="R963" s="618"/>
      <c r="S963" s="621" t="s">
        <v>1800</v>
      </c>
      <c r="T963" s="619" t="s">
        <v>1017</v>
      </c>
    </row>
    <row r="964" spans="1:20">
      <c r="A964" s="630">
        <v>3001600</v>
      </c>
      <c r="B964" s="628"/>
      <c r="C964" s="629">
        <v>32</v>
      </c>
      <c r="D964" s="774" t="s">
        <v>1112</v>
      </c>
      <c r="E964" s="775"/>
      <c r="F964" s="631" t="s">
        <v>1806</v>
      </c>
      <c r="G964" s="661">
        <v>300</v>
      </c>
      <c r="H964" s="633">
        <v>1600</v>
      </c>
      <c r="I964" s="618"/>
      <c r="J964" s="619" t="s">
        <v>1112</v>
      </c>
      <c r="K964" s="618"/>
      <c r="L964" s="619">
        <v>101</v>
      </c>
      <c r="M964" s="620">
        <v>96</v>
      </c>
      <c r="N964" s="619"/>
      <c r="O964" s="619">
        <v>12</v>
      </c>
      <c r="P964" s="619" t="s">
        <v>760</v>
      </c>
      <c r="Q964" s="662"/>
      <c r="R964" s="618"/>
      <c r="S964" s="621" t="s">
        <v>1800</v>
      </c>
      <c r="T964" s="619" t="s">
        <v>1112</v>
      </c>
    </row>
    <row r="965" spans="1:20">
      <c r="A965" s="622"/>
      <c r="B965" s="628"/>
      <c r="C965" s="629">
        <v>33</v>
      </c>
      <c r="D965" s="774" t="s">
        <v>250</v>
      </c>
      <c r="E965" s="775"/>
      <c r="F965" s="626"/>
      <c r="G965" s="623"/>
      <c r="H965" s="627"/>
      <c r="I965" s="618"/>
      <c r="J965" s="618"/>
      <c r="K965" s="618"/>
      <c r="L965" s="618"/>
      <c r="M965" s="618"/>
      <c r="N965" s="618"/>
      <c r="O965" s="618"/>
      <c r="P965" s="618"/>
      <c r="Q965" s="662"/>
      <c r="R965" s="618"/>
      <c r="S965" s="621"/>
      <c r="T965" s="618"/>
    </row>
    <row r="966" spans="1:20">
      <c r="A966" s="630">
        <v>4301600</v>
      </c>
      <c r="B966" s="628"/>
      <c r="C966" s="623"/>
      <c r="D966" s="623" t="s">
        <v>756</v>
      </c>
      <c r="E966" s="627" t="s">
        <v>1021</v>
      </c>
      <c r="F966" s="631" t="s">
        <v>1807</v>
      </c>
      <c r="G966" s="661">
        <v>430</v>
      </c>
      <c r="H966" s="633">
        <v>1600</v>
      </c>
      <c r="I966" s="618"/>
      <c r="J966" s="619" t="s">
        <v>1021</v>
      </c>
      <c r="K966" s="618"/>
      <c r="L966" s="619">
        <v>107</v>
      </c>
      <c r="M966" s="620">
        <v>102</v>
      </c>
      <c r="N966" s="619"/>
      <c r="O966" s="619">
        <v>12</v>
      </c>
      <c r="P966" s="619" t="s">
        <v>760</v>
      </c>
      <c r="Q966" s="662"/>
      <c r="R966" s="618"/>
      <c r="S966" s="621" t="s">
        <v>1800</v>
      </c>
      <c r="T966" s="619" t="s">
        <v>1021</v>
      </c>
    </row>
    <row r="967" spans="1:20">
      <c r="A967" s="630">
        <v>4421600</v>
      </c>
      <c r="B967" s="628"/>
      <c r="C967" s="623"/>
      <c r="D967" s="623" t="s">
        <v>775</v>
      </c>
      <c r="E967" s="627" t="s">
        <v>1023</v>
      </c>
      <c r="F967" s="631" t="s">
        <v>1808</v>
      </c>
      <c r="G967" s="661">
        <v>442</v>
      </c>
      <c r="H967" s="633">
        <v>1600</v>
      </c>
      <c r="I967" s="618"/>
      <c r="J967" s="619" t="s">
        <v>1023</v>
      </c>
      <c r="K967" s="618"/>
      <c r="L967" s="619">
        <v>106</v>
      </c>
      <c r="M967" s="620">
        <v>101</v>
      </c>
      <c r="N967" s="619"/>
      <c r="O967" s="619">
        <v>12</v>
      </c>
      <c r="P967" s="619" t="s">
        <v>760</v>
      </c>
      <c r="Q967" s="662"/>
      <c r="R967" s="618"/>
      <c r="S967" s="621" t="s">
        <v>1800</v>
      </c>
      <c r="T967" s="619" t="s">
        <v>1023</v>
      </c>
    </row>
    <row r="968" spans="1:20">
      <c r="A968" s="630">
        <v>4001600</v>
      </c>
      <c r="B968" s="628"/>
      <c r="C968" s="623"/>
      <c r="D968" s="623" t="s">
        <v>799</v>
      </c>
      <c r="E968" s="627" t="s">
        <v>1025</v>
      </c>
      <c r="F968" s="631" t="s">
        <v>1809</v>
      </c>
      <c r="G968" s="661">
        <v>400</v>
      </c>
      <c r="H968" s="633">
        <v>1600</v>
      </c>
      <c r="I968" s="618"/>
      <c r="J968" s="619" t="s">
        <v>1025</v>
      </c>
      <c r="K968" s="618"/>
      <c r="L968" s="619">
        <v>108</v>
      </c>
      <c r="M968" s="620">
        <v>103</v>
      </c>
      <c r="N968" s="619"/>
      <c r="O968" s="619">
        <v>12</v>
      </c>
      <c r="P968" s="619" t="s">
        <v>760</v>
      </c>
      <c r="Q968" s="662"/>
      <c r="R968" s="618"/>
      <c r="S968" s="621" t="s">
        <v>1800</v>
      </c>
      <c r="T968" s="619" t="s">
        <v>1025</v>
      </c>
    </row>
    <row r="969" spans="1:20">
      <c r="A969" s="622"/>
      <c r="B969" s="628"/>
      <c r="C969" s="629">
        <v>34</v>
      </c>
      <c r="D969" s="774" t="s">
        <v>252</v>
      </c>
      <c r="E969" s="775"/>
      <c r="F969" s="626"/>
      <c r="G969" s="623"/>
      <c r="H969" s="627"/>
      <c r="I969" s="618"/>
      <c r="J969" s="618"/>
      <c r="K969" s="618"/>
      <c r="L969" s="618"/>
      <c r="M969" s="618"/>
      <c r="N969" s="618"/>
      <c r="O969" s="618"/>
      <c r="P969" s="618"/>
      <c r="Q969" s="662"/>
      <c r="R969" s="618"/>
      <c r="S969" s="621"/>
      <c r="T969" s="618"/>
    </row>
    <row r="970" spans="1:20">
      <c r="A970" s="622"/>
      <c r="B970" s="628"/>
      <c r="C970" s="623"/>
      <c r="D970" s="623" t="s">
        <v>756</v>
      </c>
      <c r="E970" s="627" t="s">
        <v>1027</v>
      </c>
      <c r="F970" s="626"/>
      <c r="G970" s="623"/>
      <c r="H970" s="627"/>
      <c r="I970" s="618"/>
      <c r="J970" s="618"/>
      <c r="K970" s="618"/>
      <c r="L970" s="618"/>
      <c r="M970" s="618"/>
      <c r="N970" s="618"/>
      <c r="O970" s="618"/>
      <c r="P970" s="618"/>
      <c r="Q970" s="662"/>
      <c r="R970" s="618"/>
      <c r="S970" s="621"/>
      <c r="T970" s="618"/>
    </row>
    <row r="971" spans="1:20">
      <c r="A971" s="630">
        <v>5611600</v>
      </c>
      <c r="B971" s="628"/>
      <c r="C971" s="623"/>
      <c r="D971" s="623"/>
      <c r="E971" s="627" t="s">
        <v>1028</v>
      </c>
      <c r="F971" s="631" t="s">
        <v>1810</v>
      </c>
      <c r="G971" s="661">
        <v>561</v>
      </c>
      <c r="H971" s="633">
        <v>1600</v>
      </c>
      <c r="I971" s="618"/>
      <c r="J971" s="619" t="s">
        <v>1028</v>
      </c>
      <c r="K971" s="618"/>
      <c r="L971" s="619">
        <v>119</v>
      </c>
      <c r="M971" s="620">
        <v>110</v>
      </c>
      <c r="N971" s="619"/>
      <c r="O971" s="619">
        <v>12</v>
      </c>
      <c r="P971" s="619" t="s">
        <v>760</v>
      </c>
      <c r="Q971" s="662"/>
      <c r="R971" s="618"/>
      <c r="S971" s="621" t="s">
        <v>1800</v>
      </c>
      <c r="T971" s="619" t="s">
        <v>1030</v>
      </c>
    </row>
    <row r="972" spans="1:20">
      <c r="A972" s="630">
        <v>5621600</v>
      </c>
      <c r="B972" s="628"/>
      <c r="C972" s="623"/>
      <c r="D972" s="623"/>
      <c r="E972" s="627" t="s">
        <v>1031</v>
      </c>
      <c r="F972" s="631" t="s">
        <v>1811</v>
      </c>
      <c r="G972" s="661">
        <v>562</v>
      </c>
      <c r="H972" s="633">
        <v>1600</v>
      </c>
      <c r="I972" s="618"/>
      <c r="J972" s="619" t="s">
        <v>1031</v>
      </c>
      <c r="K972" s="618"/>
      <c r="L972" s="619">
        <v>119</v>
      </c>
      <c r="M972" s="620">
        <v>110</v>
      </c>
      <c r="N972" s="619"/>
      <c r="O972" s="619">
        <v>12</v>
      </c>
      <c r="P972" s="619" t="s">
        <v>760</v>
      </c>
      <c r="Q972" s="662"/>
      <c r="R972" s="618"/>
      <c r="S972" s="621" t="s">
        <v>1800</v>
      </c>
      <c r="T972" s="619" t="s">
        <v>1033</v>
      </c>
    </row>
    <row r="973" spans="1:20">
      <c r="A973" s="630">
        <v>5631600</v>
      </c>
      <c r="B973" s="628"/>
      <c r="C973" s="623"/>
      <c r="D973" s="623"/>
      <c r="E973" s="627" t="s">
        <v>1034</v>
      </c>
      <c r="F973" s="631" t="s">
        <v>1812</v>
      </c>
      <c r="G973" s="661">
        <v>563</v>
      </c>
      <c r="H973" s="633">
        <v>1600</v>
      </c>
      <c r="I973" s="618"/>
      <c r="J973" s="619" t="s">
        <v>1034</v>
      </c>
      <c r="K973" s="618"/>
      <c r="L973" s="619">
        <v>119</v>
      </c>
      <c r="M973" s="620">
        <v>110</v>
      </c>
      <c r="N973" s="619"/>
      <c r="O973" s="619">
        <v>12</v>
      </c>
      <c r="P973" s="619" t="s">
        <v>760</v>
      </c>
      <c r="Q973" s="662"/>
      <c r="R973" s="618"/>
      <c r="S973" s="621" t="s">
        <v>1800</v>
      </c>
      <c r="T973" s="619" t="s">
        <v>1036</v>
      </c>
    </row>
    <row r="974" spans="1:20">
      <c r="A974" s="630">
        <v>5821600</v>
      </c>
      <c r="B974" s="628"/>
      <c r="C974" s="623"/>
      <c r="D974" s="623" t="s">
        <v>775</v>
      </c>
      <c r="E974" s="627" t="s">
        <v>1037</v>
      </c>
      <c r="F974" s="631" t="s">
        <v>1813</v>
      </c>
      <c r="G974" s="661">
        <v>582</v>
      </c>
      <c r="H974" s="633">
        <v>1600</v>
      </c>
      <c r="I974" s="618"/>
      <c r="J974" s="619" t="s">
        <v>1037</v>
      </c>
      <c r="K974" s="618"/>
      <c r="L974" s="619">
        <v>118</v>
      </c>
      <c r="M974" s="620">
        <v>109</v>
      </c>
      <c r="N974" s="619"/>
      <c r="O974" s="619">
        <v>12</v>
      </c>
      <c r="P974" s="619" t="s">
        <v>760</v>
      </c>
      <c r="Q974" s="662"/>
      <c r="R974" s="618"/>
      <c r="S974" s="621" t="s">
        <v>1800</v>
      </c>
      <c r="T974" s="619" t="s">
        <v>1037</v>
      </c>
    </row>
    <row r="975" spans="1:20">
      <c r="A975" s="630">
        <v>5001600</v>
      </c>
      <c r="B975" s="628"/>
      <c r="C975" s="623"/>
      <c r="D975" s="623" t="s">
        <v>799</v>
      </c>
      <c r="E975" s="627" t="s">
        <v>252</v>
      </c>
      <c r="F975" s="631" t="s">
        <v>1814</v>
      </c>
      <c r="G975" s="661">
        <v>500</v>
      </c>
      <c r="H975" s="633">
        <v>1600</v>
      </c>
      <c r="I975" s="618"/>
      <c r="J975" s="619" t="s">
        <v>252</v>
      </c>
      <c r="K975" s="618"/>
      <c r="L975" s="619">
        <v>119</v>
      </c>
      <c r="M975" s="620">
        <v>110</v>
      </c>
      <c r="N975" s="619"/>
      <c r="O975" s="619">
        <v>12</v>
      </c>
      <c r="P975" s="619" t="s">
        <v>760</v>
      </c>
      <c r="Q975" s="662"/>
      <c r="R975" s="618"/>
      <c r="S975" s="621" t="s">
        <v>1800</v>
      </c>
      <c r="T975" s="619" t="s">
        <v>252</v>
      </c>
    </row>
    <row r="976" spans="1:20">
      <c r="A976" s="622"/>
      <c r="B976" s="628"/>
      <c r="C976" s="629">
        <v>35</v>
      </c>
      <c r="D976" s="774" t="s">
        <v>1040</v>
      </c>
      <c r="E976" s="775"/>
      <c r="F976" s="626"/>
      <c r="G976" s="623"/>
      <c r="H976" s="627"/>
      <c r="I976" s="618"/>
      <c r="J976" s="618"/>
      <c r="K976" s="618"/>
      <c r="L976" s="618"/>
      <c r="M976" s="618"/>
      <c r="N976" s="618"/>
      <c r="O976" s="618"/>
      <c r="P976" s="618"/>
      <c r="Q976" s="662"/>
      <c r="R976" s="618"/>
      <c r="S976" s="621"/>
      <c r="T976" s="618"/>
    </row>
    <row r="977" spans="1:20">
      <c r="A977" s="630">
        <v>6151600</v>
      </c>
      <c r="B977" s="628"/>
      <c r="C977" s="623"/>
      <c r="D977" s="623" t="s">
        <v>756</v>
      </c>
      <c r="E977" s="627" t="s">
        <v>1041</v>
      </c>
      <c r="F977" s="631" t="s">
        <v>1815</v>
      </c>
      <c r="G977" s="661">
        <v>615</v>
      </c>
      <c r="H977" s="633">
        <v>1600</v>
      </c>
      <c r="I977" s="618"/>
      <c r="J977" s="619" t="s">
        <v>1041</v>
      </c>
      <c r="K977" s="618"/>
      <c r="L977" s="619">
        <v>126</v>
      </c>
      <c r="M977" s="620">
        <v>117</v>
      </c>
      <c r="N977" s="619"/>
      <c r="O977" s="619">
        <v>12</v>
      </c>
      <c r="P977" s="619" t="s">
        <v>760</v>
      </c>
      <c r="Q977" s="662" t="s">
        <v>1043</v>
      </c>
      <c r="R977" s="618"/>
      <c r="S977" s="621" t="s">
        <v>1800</v>
      </c>
      <c r="T977" s="619" t="s">
        <v>1041</v>
      </c>
    </row>
    <row r="978" spans="1:20">
      <c r="A978" s="630">
        <v>6101600</v>
      </c>
      <c r="B978" s="628"/>
      <c r="C978" s="623"/>
      <c r="D978" s="623" t="s">
        <v>775</v>
      </c>
      <c r="E978" s="627" t="s">
        <v>39</v>
      </c>
      <c r="F978" s="631" t="s">
        <v>1816</v>
      </c>
      <c r="G978" s="661">
        <v>610</v>
      </c>
      <c r="H978" s="633">
        <v>1600</v>
      </c>
      <c r="I978" s="618"/>
      <c r="J978" s="619" t="s">
        <v>39</v>
      </c>
      <c r="K978" s="618"/>
      <c r="L978" s="619">
        <v>122</v>
      </c>
      <c r="M978" s="620">
        <v>113</v>
      </c>
      <c r="N978" s="619"/>
      <c r="O978" s="619">
        <v>12</v>
      </c>
      <c r="P978" s="619" t="s">
        <v>760</v>
      </c>
      <c r="Q978" s="662" t="s">
        <v>1043</v>
      </c>
      <c r="R978" s="618"/>
      <c r="S978" s="621" t="s">
        <v>1800</v>
      </c>
      <c r="T978" s="619" t="s">
        <v>39</v>
      </c>
    </row>
    <row r="979" spans="1:20">
      <c r="A979" s="630">
        <v>6421600</v>
      </c>
      <c r="B979" s="628"/>
      <c r="C979" s="623"/>
      <c r="D979" s="623" t="s">
        <v>799</v>
      </c>
      <c r="E979" s="627" t="s">
        <v>1046</v>
      </c>
      <c r="F979" s="631" t="s">
        <v>1817</v>
      </c>
      <c r="G979" s="661">
        <v>642</v>
      </c>
      <c r="H979" s="633">
        <v>1600</v>
      </c>
      <c r="I979" s="618"/>
      <c r="J979" s="619" t="s">
        <v>1046</v>
      </c>
      <c r="K979" s="618"/>
      <c r="L979" s="619">
        <v>125</v>
      </c>
      <c r="M979" s="620">
        <v>116</v>
      </c>
      <c r="N979" s="619"/>
      <c r="O979" s="619">
        <v>12</v>
      </c>
      <c r="P979" s="619" t="s">
        <v>760</v>
      </c>
      <c r="Q979" s="662" t="s">
        <v>1043</v>
      </c>
      <c r="R979" s="618"/>
      <c r="S979" s="621" t="s">
        <v>1800</v>
      </c>
      <c r="T979" s="619" t="s">
        <v>1046</v>
      </c>
    </row>
    <row r="980" spans="1:20">
      <c r="A980" s="630">
        <v>6001600</v>
      </c>
      <c r="B980" s="628"/>
      <c r="C980" s="623"/>
      <c r="D980" s="623" t="s">
        <v>803</v>
      </c>
      <c r="E980" s="627" t="s">
        <v>1048</v>
      </c>
      <c r="F980" s="631" t="s">
        <v>1818</v>
      </c>
      <c r="G980" s="661">
        <v>600</v>
      </c>
      <c r="H980" s="633">
        <v>1600</v>
      </c>
      <c r="I980" s="618"/>
      <c r="J980" s="619" t="s">
        <v>1048</v>
      </c>
      <c r="K980" s="618"/>
      <c r="L980" s="619">
        <v>126</v>
      </c>
      <c r="M980" s="620">
        <v>117</v>
      </c>
      <c r="N980" s="619"/>
      <c r="O980" s="619">
        <v>12</v>
      </c>
      <c r="P980" s="619" t="s">
        <v>760</v>
      </c>
      <c r="Q980" s="662"/>
      <c r="R980" s="618"/>
      <c r="S980" s="621" t="s">
        <v>1800</v>
      </c>
      <c r="T980" s="619" t="s">
        <v>1048</v>
      </c>
    </row>
    <row r="981" spans="1:20">
      <c r="A981" s="622"/>
      <c r="B981" s="628"/>
      <c r="C981" s="629">
        <v>36</v>
      </c>
      <c r="D981" s="774" t="s">
        <v>1050</v>
      </c>
      <c r="E981" s="775"/>
      <c r="F981" s="626"/>
      <c r="G981" s="623"/>
      <c r="H981" s="627"/>
      <c r="I981" s="618"/>
      <c r="J981" s="618"/>
      <c r="K981" s="618"/>
      <c r="L981" s="618"/>
      <c r="M981" s="618"/>
      <c r="N981" s="618"/>
      <c r="O981" s="618"/>
      <c r="P981" s="618"/>
      <c r="Q981" s="662"/>
      <c r="R981" s="618"/>
      <c r="S981" s="621"/>
      <c r="T981" s="618"/>
    </row>
    <row r="982" spans="1:20">
      <c r="A982" s="630">
        <v>7341600</v>
      </c>
      <c r="B982" s="628"/>
      <c r="C982" s="623"/>
      <c r="D982" s="623" t="s">
        <v>756</v>
      </c>
      <c r="E982" s="627" t="s">
        <v>1051</v>
      </c>
      <c r="F982" s="631" t="s">
        <v>1819</v>
      </c>
      <c r="G982" s="661">
        <v>734</v>
      </c>
      <c r="H982" s="633">
        <v>1600</v>
      </c>
      <c r="I982" s="618"/>
      <c r="J982" s="619" t="s">
        <v>1051</v>
      </c>
      <c r="K982" s="618"/>
      <c r="L982" s="619">
        <v>131</v>
      </c>
      <c r="M982" s="620">
        <v>122</v>
      </c>
      <c r="N982" s="619"/>
      <c r="O982" s="619">
        <v>12</v>
      </c>
      <c r="P982" s="619" t="s">
        <v>760</v>
      </c>
      <c r="Q982" s="662"/>
      <c r="R982" s="618"/>
      <c r="S982" s="621" t="s">
        <v>1800</v>
      </c>
      <c r="T982" s="619" t="s">
        <v>1051</v>
      </c>
    </row>
    <row r="983" spans="1:20">
      <c r="A983" s="630">
        <v>7351600</v>
      </c>
      <c r="B983" s="628"/>
      <c r="C983" s="623"/>
      <c r="D983" s="623" t="s">
        <v>775</v>
      </c>
      <c r="E983" s="627" t="s">
        <v>1053</v>
      </c>
      <c r="F983" s="631" t="s">
        <v>1820</v>
      </c>
      <c r="G983" s="661">
        <v>735</v>
      </c>
      <c r="H983" s="633">
        <v>1600</v>
      </c>
      <c r="I983" s="618"/>
      <c r="J983" s="619" t="s">
        <v>1053</v>
      </c>
      <c r="K983" s="618"/>
      <c r="L983" s="619">
        <v>131</v>
      </c>
      <c r="M983" s="620">
        <v>122</v>
      </c>
      <c r="N983" s="619"/>
      <c r="O983" s="619">
        <v>12</v>
      </c>
      <c r="P983" s="619" t="s">
        <v>760</v>
      </c>
      <c r="Q983" s="662"/>
      <c r="R983" s="618"/>
      <c r="S983" s="621" t="s">
        <v>1800</v>
      </c>
      <c r="T983" s="619" t="s">
        <v>1053</v>
      </c>
    </row>
    <row r="984" spans="1:20">
      <c r="A984" s="630">
        <v>7301600</v>
      </c>
      <c r="B984" s="628"/>
      <c r="C984" s="623"/>
      <c r="D984" s="623" t="s">
        <v>799</v>
      </c>
      <c r="E984" s="627" t="s">
        <v>1055</v>
      </c>
      <c r="F984" s="631" t="s">
        <v>1821</v>
      </c>
      <c r="G984" s="661">
        <v>730</v>
      </c>
      <c r="H984" s="633">
        <v>1600</v>
      </c>
      <c r="I984" s="618"/>
      <c r="J984" s="619" t="s">
        <v>1055</v>
      </c>
      <c r="K984" s="618"/>
      <c r="L984" s="619">
        <v>131</v>
      </c>
      <c r="M984" s="620">
        <v>122</v>
      </c>
      <c r="N984" s="619"/>
      <c r="O984" s="619">
        <v>12</v>
      </c>
      <c r="P984" s="619" t="s">
        <v>760</v>
      </c>
      <c r="Q984" s="662"/>
      <c r="R984" s="618"/>
      <c r="S984" s="621" t="s">
        <v>1800</v>
      </c>
      <c r="T984" s="619" t="s">
        <v>1055</v>
      </c>
    </row>
    <row r="985" spans="1:20">
      <c r="A985" s="630">
        <v>7001600</v>
      </c>
      <c r="B985" s="628"/>
      <c r="C985" s="623"/>
      <c r="D985" s="623" t="s">
        <v>803</v>
      </c>
      <c r="E985" s="627" t="s">
        <v>1057</v>
      </c>
      <c r="F985" s="631" t="s">
        <v>1822</v>
      </c>
      <c r="G985" s="661">
        <v>700</v>
      </c>
      <c r="H985" s="633">
        <v>1600</v>
      </c>
      <c r="I985" s="618"/>
      <c r="J985" s="619" t="s">
        <v>1057</v>
      </c>
      <c r="K985" s="618"/>
      <c r="L985" s="619">
        <v>132</v>
      </c>
      <c r="M985" s="620">
        <v>123</v>
      </c>
      <c r="N985" s="619"/>
      <c r="O985" s="619">
        <v>12</v>
      </c>
      <c r="P985" s="619" t="s">
        <v>760</v>
      </c>
      <c r="Q985" s="662"/>
      <c r="R985" s="618"/>
      <c r="S985" s="621" t="s">
        <v>1800</v>
      </c>
      <c r="T985" s="619" t="s">
        <v>1057</v>
      </c>
    </row>
    <row r="986" spans="1:20">
      <c r="A986" s="622"/>
      <c r="B986" s="628"/>
      <c r="C986" s="629">
        <v>37</v>
      </c>
      <c r="D986" s="774" t="s">
        <v>256</v>
      </c>
      <c r="E986" s="775"/>
      <c r="F986" s="626"/>
      <c r="G986" s="623"/>
      <c r="H986" s="627"/>
      <c r="I986" s="618"/>
      <c r="J986" s="618"/>
      <c r="K986" s="618"/>
      <c r="L986" s="618"/>
      <c r="M986" s="618"/>
      <c r="N986" s="618"/>
      <c r="O986" s="618"/>
      <c r="P986" s="618"/>
      <c r="Q986" s="662"/>
      <c r="R986" s="618"/>
      <c r="S986" s="621"/>
      <c r="T986" s="618"/>
    </row>
    <row r="987" spans="1:20">
      <c r="A987" s="630">
        <v>8951600</v>
      </c>
      <c r="B987" s="628"/>
      <c r="C987" s="623"/>
      <c r="D987" s="623" t="s">
        <v>756</v>
      </c>
      <c r="E987" s="627" t="s">
        <v>1059</v>
      </c>
      <c r="F987" s="631" t="s">
        <v>1823</v>
      </c>
      <c r="G987" s="661">
        <v>895</v>
      </c>
      <c r="H987" s="633">
        <v>1600</v>
      </c>
      <c r="I987" s="618"/>
      <c r="J987" s="619" t="s">
        <v>1059</v>
      </c>
      <c r="K987" s="618"/>
      <c r="L987" s="619">
        <v>139</v>
      </c>
      <c r="M987" s="620">
        <v>129</v>
      </c>
      <c r="N987" s="619"/>
      <c r="O987" s="619">
        <v>12</v>
      </c>
      <c r="P987" s="619" t="s">
        <v>760</v>
      </c>
      <c r="Q987" s="662"/>
      <c r="R987" s="618"/>
      <c r="S987" s="621" t="s">
        <v>1800</v>
      </c>
      <c r="T987" s="619" t="s">
        <v>1059</v>
      </c>
    </row>
    <row r="988" spans="1:20">
      <c r="A988" s="630">
        <v>8001600</v>
      </c>
      <c r="B988" s="628"/>
      <c r="C988" s="623"/>
      <c r="D988" s="623" t="s">
        <v>775</v>
      </c>
      <c r="E988" s="627" t="s">
        <v>1061</v>
      </c>
      <c r="F988" s="631" t="s">
        <v>1824</v>
      </c>
      <c r="G988" s="661">
        <v>800</v>
      </c>
      <c r="H988" s="633">
        <v>1600</v>
      </c>
      <c r="I988" s="618"/>
      <c r="J988" s="619" t="s">
        <v>1061</v>
      </c>
      <c r="K988" s="618"/>
      <c r="L988" s="619">
        <v>139</v>
      </c>
      <c r="M988" s="620">
        <v>129</v>
      </c>
      <c r="N988" s="619"/>
      <c r="O988" s="619">
        <v>12</v>
      </c>
      <c r="P988" s="619" t="s">
        <v>760</v>
      </c>
      <c r="Q988" s="662"/>
      <c r="R988" s="618"/>
      <c r="S988" s="621" t="s">
        <v>1800</v>
      </c>
      <c r="T988" s="619" t="s">
        <v>1061</v>
      </c>
    </row>
    <row r="989" spans="1:20">
      <c r="A989" s="622"/>
      <c r="B989" s="628"/>
      <c r="C989" s="629">
        <v>38</v>
      </c>
      <c r="D989" s="774" t="s">
        <v>1063</v>
      </c>
      <c r="E989" s="775"/>
      <c r="F989" s="626"/>
      <c r="G989" s="623"/>
      <c r="H989" s="627"/>
      <c r="I989" s="618"/>
      <c r="J989" s="618"/>
      <c r="K989" s="618"/>
      <c r="L989" s="618"/>
      <c r="M989" s="618"/>
      <c r="N989" s="618"/>
      <c r="O989" s="618"/>
      <c r="P989" s="618"/>
      <c r="Q989" s="662"/>
      <c r="R989" s="618"/>
      <c r="S989" s="621"/>
      <c r="T989" s="618"/>
    </row>
    <row r="990" spans="1:20">
      <c r="A990" s="630">
        <v>2101600</v>
      </c>
      <c r="B990" s="628"/>
      <c r="C990" s="623"/>
      <c r="D990" s="623" t="s">
        <v>756</v>
      </c>
      <c r="E990" s="627" t="s">
        <v>1064</v>
      </c>
      <c r="F990" s="631" t="s">
        <v>1825</v>
      </c>
      <c r="G990" s="661">
        <v>210</v>
      </c>
      <c r="H990" s="633">
        <v>1600</v>
      </c>
      <c r="I990" s="618"/>
      <c r="J990" s="619" t="s">
        <v>1064</v>
      </c>
      <c r="K990" s="618"/>
      <c r="L990" s="619">
        <v>89</v>
      </c>
      <c r="M990" s="620">
        <v>84</v>
      </c>
      <c r="N990" s="619"/>
      <c r="O990" s="619">
        <v>12</v>
      </c>
      <c r="P990" s="619" t="s">
        <v>760</v>
      </c>
      <c r="Q990" s="662" t="s">
        <v>1002</v>
      </c>
      <c r="R990" s="618"/>
      <c r="S990" s="621" t="s">
        <v>1800</v>
      </c>
      <c r="T990" s="619" t="s">
        <v>1064</v>
      </c>
    </row>
    <row r="991" spans="1:20">
      <c r="A991" s="630">
        <v>2201600</v>
      </c>
      <c r="B991" s="628"/>
      <c r="C991" s="623"/>
      <c r="D991" s="623" t="s">
        <v>775</v>
      </c>
      <c r="E991" s="627" t="s">
        <v>1066</v>
      </c>
      <c r="F991" s="631" t="s">
        <v>1826</v>
      </c>
      <c r="G991" s="661">
        <v>220</v>
      </c>
      <c r="H991" s="633">
        <v>1600</v>
      </c>
      <c r="I991" s="618"/>
      <c r="J991" s="619" t="s">
        <v>1066</v>
      </c>
      <c r="K991" s="618"/>
      <c r="L991" s="619">
        <v>90</v>
      </c>
      <c r="M991" s="620">
        <v>85</v>
      </c>
      <c r="N991" s="619"/>
      <c r="O991" s="619">
        <v>12</v>
      </c>
      <c r="P991" s="619" t="s">
        <v>760</v>
      </c>
      <c r="Q991" s="662" t="s">
        <v>1002</v>
      </c>
      <c r="R991" s="618"/>
      <c r="S991" s="621" t="s">
        <v>1800</v>
      </c>
      <c r="T991" s="619" t="s">
        <v>1066</v>
      </c>
    </row>
    <row r="992" spans="1:20">
      <c r="A992" s="630">
        <v>2251600</v>
      </c>
      <c r="B992" s="628"/>
      <c r="C992" s="623"/>
      <c r="D992" s="623" t="s">
        <v>799</v>
      </c>
      <c r="E992" s="627" t="s">
        <v>23</v>
      </c>
      <c r="F992" s="631" t="s">
        <v>1827</v>
      </c>
      <c r="G992" s="661">
        <v>225</v>
      </c>
      <c r="H992" s="633">
        <v>1600</v>
      </c>
      <c r="I992" s="618"/>
      <c r="J992" s="619" t="s">
        <v>23</v>
      </c>
      <c r="K992" s="618"/>
      <c r="L992" s="619">
        <v>91</v>
      </c>
      <c r="M992" s="620">
        <v>86</v>
      </c>
      <c r="N992" s="619"/>
      <c r="O992" s="619">
        <v>12</v>
      </c>
      <c r="P992" s="619" t="s">
        <v>760</v>
      </c>
      <c r="Q992" s="662" t="s">
        <v>1002</v>
      </c>
      <c r="R992" s="618"/>
      <c r="S992" s="621" t="s">
        <v>1800</v>
      </c>
      <c r="T992" s="619" t="s">
        <v>23</v>
      </c>
    </row>
    <row r="993" spans="1:20">
      <c r="A993" s="622"/>
      <c r="B993" s="628"/>
      <c r="C993" s="623"/>
      <c r="D993" s="623" t="s">
        <v>803</v>
      </c>
      <c r="E993" s="627" t="s">
        <v>1069</v>
      </c>
      <c r="F993" s="626"/>
      <c r="G993" s="623"/>
      <c r="H993" s="627"/>
      <c r="I993" s="618"/>
      <c r="J993" s="618"/>
      <c r="K993" s="618"/>
      <c r="L993" s="618"/>
      <c r="M993" s="618"/>
      <c r="N993" s="618"/>
      <c r="O993" s="618"/>
      <c r="P993" s="618"/>
      <c r="Q993" s="662"/>
      <c r="R993" s="618"/>
      <c r="S993" s="621"/>
      <c r="T993" s="618"/>
    </row>
    <row r="994" spans="1:20">
      <c r="A994" s="630">
        <v>2311600</v>
      </c>
      <c r="B994" s="628"/>
      <c r="C994" s="623"/>
      <c r="D994" s="623"/>
      <c r="E994" s="627" t="s">
        <v>1070</v>
      </c>
      <c r="F994" s="631" t="s">
        <v>1828</v>
      </c>
      <c r="G994" s="661">
        <v>231</v>
      </c>
      <c r="H994" s="633">
        <v>1600</v>
      </c>
      <c r="I994" s="618"/>
      <c r="J994" s="619" t="s">
        <v>1070</v>
      </c>
      <c r="K994" s="618"/>
      <c r="L994" s="619">
        <v>92</v>
      </c>
      <c r="M994" s="620">
        <v>87</v>
      </c>
      <c r="N994" s="619"/>
      <c r="O994" s="619">
        <v>12</v>
      </c>
      <c r="P994" s="619" t="s">
        <v>760</v>
      </c>
      <c r="Q994" s="662" t="s">
        <v>1002</v>
      </c>
      <c r="R994" s="618"/>
      <c r="S994" s="621" t="s">
        <v>1800</v>
      </c>
      <c r="T994" s="619" t="s">
        <v>1072</v>
      </c>
    </row>
    <row r="995" spans="1:20">
      <c r="A995" s="630">
        <v>2331600</v>
      </c>
      <c r="B995" s="628"/>
      <c r="C995" s="623"/>
      <c r="D995" s="623"/>
      <c r="E995" s="627" t="s">
        <v>1073</v>
      </c>
      <c r="F995" s="631" t="s">
        <v>1829</v>
      </c>
      <c r="G995" s="661">
        <v>233</v>
      </c>
      <c r="H995" s="633">
        <v>1600</v>
      </c>
      <c r="I995" s="618"/>
      <c r="J995" s="619" t="s">
        <v>1073</v>
      </c>
      <c r="K995" s="618"/>
      <c r="L995" s="619">
        <v>92</v>
      </c>
      <c r="M995" s="620">
        <v>87</v>
      </c>
      <c r="N995" s="619"/>
      <c r="O995" s="619">
        <v>12</v>
      </c>
      <c r="P995" s="619" t="s">
        <v>760</v>
      </c>
      <c r="Q995" s="662" t="s">
        <v>1002</v>
      </c>
      <c r="R995" s="618"/>
      <c r="S995" s="621" t="s">
        <v>1800</v>
      </c>
      <c r="T995" s="619" t="s">
        <v>1075</v>
      </c>
    </row>
    <row r="996" spans="1:20">
      <c r="A996" s="630">
        <v>2391600</v>
      </c>
      <c r="B996" s="628"/>
      <c r="C996" s="623"/>
      <c r="D996" s="623"/>
      <c r="E996" s="627" t="s">
        <v>1076</v>
      </c>
      <c r="F996" s="631" t="s">
        <v>1830</v>
      </c>
      <c r="G996" s="661">
        <v>239</v>
      </c>
      <c r="H996" s="633">
        <v>1600</v>
      </c>
      <c r="I996" s="618"/>
      <c r="J996" s="619" t="s">
        <v>1076</v>
      </c>
      <c r="K996" s="618"/>
      <c r="L996" s="619">
        <v>92</v>
      </c>
      <c r="M996" s="620">
        <v>87</v>
      </c>
      <c r="N996" s="619"/>
      <c r="O996" s="619">
        <v>12</v>
      </c>
      <c r="P996" s="619" t="s">
        <v>760</v>
      </c>
      <c r="Q996" s="662" t="s">
        <v>1002</v>
      </c>
      <c r="R996" s="618"/>
      <c r="S996" s="621" t="s">
        <v>1800</v>
      </c>
      <c r="T996" s="619" t="s">
        <v>1078</v>
      </c>
    </row>
    <row r="997" spans="1:20">
      <c r="A997" s="630">
        <v>2501600</v>
      </c>
      <c r="B997" s="628"/>
      <c r="C997" s="623"/>
      <c r="D997" s="623" t="s">
        <v>848</v>
      </c>
      <c r="E997" s="627" t="s">
        <v>1079</v>
      </c>
      <c r="F997" s="631" t="s">
        <v>1831</v>
      </c>
      <c r="G997" s="661">
        <v>250</v>
      </c>
      <c r="H997" s="633">
        <v>1600</v>
      </c>
      <c r="I997" s="618"/>
      <c r="J997" s="619" t="s">
        <v>1079</v>
      </c>
      <c r="K997" s="618"/>
      <c r="L997" s="619">
        <v>93</v>
      </c>
      <c r="M997" s="620">
        <v>88</v>
      </c>
      <c r="N997" s="619"/>
      <c r="O997" s="619">
        <v>12</v>
      </c>
      <c r="P997" s="619" t="s">
        <v>760</v>
      </c>
      <c r="Q997" s="662" t="s">
        <v>1002</v>
      </c>
      <c r="R997" s="618"/>
      <c r="S997" s="621" t="s">
        <v>1800</v>
      </c>
      <c r="T997" s="619" t="s">
        <v>1079</v>
      </c>
    </row>
    <row r="998" spans="1:20">
      <c r="A998" s="630">
        <v>2601600</v>
      </c>
      <c r="B998" s="628"/>
      <c r="C998" s="623"/>
      <c r="D998" s="623" t="s">
        <v>851</v>
      </c>
      <c r="E998" s="627" t="s">
        <v>1081</v>
      </c>
      <c r="F998" s="631" t="s">
        <v>1832</v>
      </c>
      <c r="G998" s="661">
        <v>260</v>
      </c>
      <c r="H998" s="633">
        <v>1600</v>
      </c>
      <c r="I998" s="618"/>
      <c r="J998" s="619" t="s">
        <v>1081</v>
      </c>
      <c r="K998" s="618"/>
      <c r="L998" s="619">
        <v>95</v>
      </c>
      <c r="M998" s="620">
        <v>90</v>
      </c>
      <c r="N998" s="619"/>
      <c r="O998" s="619">
        <v>12</v>
      </c>
      <c r="P998" s="619" t="s">
        <v>760</v>
      </c>
      <c r="Q998" s="662" t="s">
        <v>1002</v>
      </c>
      <c r="R998" s="618"/>
      <c r="S998" s="621" t="s">
        <v>1800</v>
      </c>
      <c r="T998" s="619" t="s">
        <v>1081</v>
      </c>
    </row>
    <row r="999" spans="1:20">
      <c r="A999" s="630">
        <v>2701600</v>
      </c>
      <c r="B999" s="628"/>
      <c r="C999" s="623"/>
      <c r="D999" s="623" t="s">
        <v>854</v>
      </c>
      <c r="E999" s="627" t="s">
        <v>1083</v>
      </c>
      <c r="F999" s="631" t="s">
        <v>1833</v>
      </c>
      <c r="G999" s="661">
        <v>270</v>
      </c>
      <c r="H999" s="633">
        <v>1600</v>
      </c>
      <c r="I999" s="618"/>
      <c r="J999" s="619" t="s">
        <v>1083</v>
      </c>
      <c r="K999" s="618"/>
      <c r="L999" s="619">
        <v>94</v>
      </c>
      <c r="M999" s="620">
        <v>89</v>
      </c>
      <c r="N999" s="619"/>
      <c r="O999" s="619">
        <v>12</v>
      </c>
      <c r="P999" s="619" t="s">
        <v>760</v>
      </c>
      <c r="Q999" s="662" t="s">
        <v>1002</v>
      </c>
      <c r="R999" s="618"/>
      <c r="S999" s="621" t="s">
        <v>1800</v>
      </c>
      <c r="T999" s="619" t="s">
        <v>1083</v>
      </c>
    </row>
    <row r="1000" spans="1:20">
      <c r="A1000" s="630">
        <v>2811600</v>
      </c>
      <c r="B1000" s="628"/>
      <c r="C1000" s="623"/>
      <c r="D1000" s="623" t="s">
        <v>857</v>
      </c>
      <c r="E1000" s="627" t="s">
        <v>1085</v>
      </c>
      <c r="F1000" s="631" t="s">
        <v>1834</v>
      </c>
      <c r="G1000" s="661">
        <v>281</v>
      </c>
      <c r="H1000" s="633">
        <v>1600</v>
      </c>
      <c r="I1000" s="618"/>
      <c r="J1000" s="619" t="s">
        <v>1085</v>
      </c>
      <c r="K1000" s="618"/>
      <c r="L1000" s="619">
        <v>95</v>
      </c>
      <c r="M1000" s="620">
        <v>90</v>
      </c>
      <c r="N1000" s="619"/>
      <c r="O1000" s="619">
        <v>12</v>
      </c>
      <c r="P1000" s="619" t="s">
        <v>760</v>
      </c>
      <c r="Q1000" s="662" t="s">
        <v>1002</v>
      </c>
      <c r="R1000" s="618"/>
      <c r="S1000" s="621" t="s">
        <v>1800</v>
      </c>
      <c r="T1000" s="619" t="s">
        <v>1085</v>
      </c>
    </row>
    <row r="1001" spans="1:20">
      <c r="A1001" s="630">
        <v>2821600</v>
      </c>
      <c r="B1001" s="628"/>
      <c r="C1001" s="623"/>
      <c r="D1001" s="623" t="s">
        <v>860</v>
      </c>
      <c r="E1001" s="627" t="s">
        <v>1087</v>
      </c>
      <c r="F1001" s="631" t="s">
        <v>1835</v>
      </c>
      <c r="G1001" s="661">
        <v>282</v>
      </c>
      <c r="H1001" s="633">
        <v>1600</v>
      </c>
      <c r="I1001" s="618"/>
      <c r="J1001" s="619" t="s">
        <v>1087</v>
      </c>
      <c r="K1001" s="618"/>
      <c r="L1001" s="619">
        <v>95</v>
      </c>
      <c r="M1001" s="620">
        <v>90</v>
      </c>
      <c r="N1001" s="619"/>
      <c r="O1001" s="619">
        <v>12</v>
      </c>
      <c r="P1001" s="619" t="s">
        <v>760</v>
      </c>
      <c r="Q1001" s="662" t="s">
        <v>1002</v>
      </c>
      <c r="R1001" s="618"/>
      <c r="S1001" s="621" t="s">
        <v>1800</v>
      </c>
      <c r="T1001" s="619" t="s">
        <v>1087</v>
      </c>
    </row>
    <row r="1002" spans="1:20" ht="16" thickBot="1">
      <c r="A1002" s="630">
        <v>2901600</v>
      </c>
      <c r="B1002" s="667"/>
      <c r="C1002" s="623"/>
      <c r="D1002" s="623" t="s">
        <v>1836</v>
      </c>
      <c r="E1002" s="627" t="s">
        <v>1090</v>
      </c>
      <c r="F1002" s="631" t="s">
        <v>1837</v>
      </c>
      <c r="G1002" s="661">
        <v>290</v>
      </c>
      <c r="H1002" s="633">
        <v>1600</v>
      </c>
      <c r="I1002" s="618"/>
      <c r="J1002" s="619" t="s">
        <v>1090</v>
      </c>
      <c r="K1002" s="618"/>
      <c r="L1002" s="619">
        <v>95</v>
      </c>
      <c r="M1002" s="620">
        <v>90</v>
      </c>
      <c r="N1002" s="619"/>
      <c r="O1002" s="619">
        <v>12</v>
      </c>
      <c r="P1002" s="619" t="s">
        <v>760</v>
      </c>
      <c r="Q1002" s="662" t="s">
        <v>1002</v>
      </c>
      <c r="R1002" s="618"/>
      <c r="S1002" s="621" t="s">
        <v>1800</v>
      </c>
      <c r="T1002" s="619" t="s">
        <v>1090</v>
      </c>
    </row>
    <row r="1003" spans="1:20" ht="16.5" thickTop="1" thickBot="1">
      <c r="A1003" s="622"/>
      <c r="B1003" s="613"/>
      <c r="C1003" s="772" t="s">
        <v>1838</v>
      </c>
      <c r="D1003" s="773"/>
      <c r="E1003" s="782"/>
      <c r="F1003" s="656" t="s">
        <v>608</v>
      </c>
      <c r="G1003" s="657"/>
      <c r="H1003" s="658"/>
      <c r="I1003" s="618"/>
      <c r="J1003" s="618"/>
      <c r="K1003" s="618"/>
      <c r="L1003" s="618"/>
      <c r="M1003" s="618"/>
      <c r="N1003" s="618"/>
      <c r="O1003" s="618"/>
      <c r="P1003" s="618"/>
      <c r="Q1003" s="662"/>
      <c r="R1003" s="618"/>
      <c r="S1003" s="621"/>
      <c r="T1003" s="618"/>
    </row>
    <row r="1004" spans="1:20" ht="18.5" thickTop="1">
      <c r="A1004" s="622"/>
      <c r="B1004" s="674"/>
      <c r="C1004" s="791" t="s">
        <v>1839</v>
      </c>
      <c r="D1004" s="771"/>
      <c r="E1004" s="771"/>
      <c r="F1004" s="615"/>
      <c r="G1004" s="628"/>
      <c r="H1004" s="654"/>
      <c r="I1004" s="618"/>
      <c r="J1004" s="618"/>
      <c r="K1004" s="618"/>
      <c r="L1004" s="618"/>
      <c r="M1004" s="618"/>
      <c r="N1004" s="618"/>
      <c r="O1004" s="618"/>
      <c r="P1004" s="618"/>
      <c r="Q1004" s="662"/>
      <c r="R1004" s="618"/>
      <c r="S1004" s="621"/>
      <c r="T1004" s="618"/>
    </row>
    <row r="1005" spans="1:20" ht="16" thickBot="1">
      <c r="A1005" s="622"/>
      <c r="B1005" s="675"/>
      <c r="C1005" s="792" t="s">
        <v>1840</v>
      </c>
      <c r="D1005" s="789"/>
      <c r="E1005" s="789"/>
      <c r="F1005" s="617"/>
      <c r="G1005" s="613"/>
      <c r="H1005" s="614"/>
      <c r="I1005" s="618"/>
      <c r="J1005" s="618"/>
      <c r="K1005" s="618"/>
      <c r="L1005" s="618"/>
      <c r="M1005" s="618"/>
      <c r="N1005" s="618"/>
      <c r="O1005" s="618"/>
      <c r="P1005" s="618"/>
      <c r="Q1005" s="662"/>
      <c r="R1005" s="618"/>
      <c r="S1005" s="621"/>
      <c r="T1005" s="618"/>
    </row>
    <row r="1006" spans="1:20" ht="16.5" thickTop="1" thickBot="1">
      <c r="A1006" s="622"/>
      <c r="B1006" s="788" t="s">
        <v>1841</v>
      </c>
      <c r="C1006" s="789"/>
      <c r="D1006" s="789"/>
      <c r="E1006" s="777"/>
      <c r="F1006" s="660" t="s">
        <v>674</v>
      </c>
      <c r="G1006" s="613"/>
      <c r="H1006" s="614"/>
      <c r="I1006" s="618"/>
      <c r="J1006" s="618"/>
      <c r="K1006" s="618"/>
      <c r="L1006" s="618"/>
      <c r="M1006" s="618"/>
      <c r="N1006" s="618"/>
      <c r="O1006" s="618"/>
      <c r="P1006" s="618"/>
      <c r="Q1006" s="662"/>
      <c r="R1006" s="618"/>
      <c r="S1006" s="621"/>
      <c r="T1006" s="618"/>
    </row>
    <row r="1007" spans="1:20" ht="16" thickTop="1">
      <c r="A1007" s="622"/>
      <c r="B1007" s="623"/>
      <c r="C1007" s="623"/>
      <c r="D1007" s="623"/>
      <c r="E1007" s="627"/>
      <c r="F1007" s="626"/>
      <c r="G1007" s="623"/>
      <c r="H1007" s="627"/>
      <c r="I1007" s="618"/>
      <c r="J1007" s="618"/>
      <c r="K1007" s="618"/>
      <c r="L1007" s="618"/>
      <c r="M1007" s="618"/>
      <c r="N1007" s="618"/>
      <c r="O1007" s="618"/>
      <c r="P1007" s="618"/>
      <c r="Q1007" s="662"/>
      <c r="R1007" s="618"/>
      <c r="S1007" s="621"/>
      <c r="T1007" s="618"/>
    </row>
    <row r="1008" spans="1:20">
      <c r="A1008" s="622"/>
      <c r="B1008" s="628" t="s">
        <v>878</v>
      </c>
      <c r="C1008" s="770" t="s">
        <v>1842</v>
      </c>
      <c r="D1008" s="771"/>
      <c r="E1008" s="775"/>
      <c r="F1008" s="626"/>
      <c r="G1008" s="623"/>
      <c r="H1008" s="627"/>
      <c r="I1008" s="618"/>
      <c r="J1008" s="618"/>
      <c r="K1008" s="618"/>
      <c r="L1008" s="618"/>
      <c r="M1008" s="618"/>
      <c r="N1008" s="618"/>
      <c r="O1008" s="618"/>
      <c r="P1008" s="618"/>
      <c r="Q1008" s="662"/>
      <c r="R1008" s="618"/>
      <c r="S1008" s="621"/>
      <c r="T1008" s="618"/>
    </row>
    <row r="1009" spans="1:20">
      <c r="A1009" s="622"/>
      <c r="B1009" s="628" t="s">
        <v>999</v>
      </c>
      <c r="C1009" s="770" t="s">
        <v>676</v>
      </c>
      <c r="D1009" s="771"/>
      <c r="E1009" s="775"/>
      <c r="F1009" s="626"/>
      <c r="G1009" s="623"/>
      <c r="H1009" s="627"/>
      <c r="I1009" s="618"/>
      <c r="J1009" s="618"/>
      <c r="K1009" s="618"/>
      <c r="L1009" s="618"/>
      <c r="M1009" s="618"/>
      <c r="N1009" s="618"/>
      <c r="O1009" s="618"/>
      <c r="P1009" s="618"/>
      <c r="Q1009" s="662"/>
      <c r="R1009" s="618"/>
      <c r="S1009" s="621"/>
      <c r="T1009" s="618"/>
    </row>
    <row r="1010" spans="1:20">
      <c r="A1010" s="622"/>
      <c r="B1010" s="628"/>
      <c r="C1010" s="629">
        <v>47</v>
      </c>
      <c r="D1010" s="774" t="s">
        <v>1843</v>
      </c>
      <c r="E1010" s="775"/>
      <c r="F1010" s="626"/>
      <c r="G1010" s="623"/>
      <c r="H1010" s="627"/>
      <c r="I1010" s="618"/>
      <c r="J1010" s="618"/>
      <c r="K1010" s="618"/>
      <c r="L1010" s="618"/>
      <c r="M1010" s="618"/>
      <c r="N1010" s="618"/>
      <c r="O1010" s="618"/>
      <c r="P1010" s="618"/>
      <c r="Q1010" s="662"/>
      <c r="R1010" s="618"/>
      <c r="S1010" s="621"/>
      <c r="T1010" s="618"/>
    </row>
    <row r="1011" spans="1:20">
      <c r="A1011" s="622"/>
      <c r="B1011" s="628"/>
      <c r="C1011" s="623"/>
      <c r="D1011" s="623" t="s">
        <v>756</v>
      </c>
      <c r="E1011" s="627" t="s">
        <v>244</v>
      </c>
      <c r="F1011" s="626"/>
      <c r="G1011" s="623"/>
      <c r="H1011" s="627"/>
      <c r="I1011" s="618"/>
      <c r="J1011" s="618"/>
      <c r="K1011" s="618"/>
      <c r="L1011" s="618"/>
      <c r="M1011" s="618"/>
      <c r="N1011" s="618"/>
      <c r="O1011" s="618"/>
      <c r="P1011" s="618"/>
      <c r="Q1011" s="662"/>
      <c r="R1011" s="618"/>
      <c r="S1011" s="621"/>
      <c r="T1011" s="618"/>
    </row>
    <row r="1012" spans="1:20">
      <c r="A1012" s="630">
        <v>1112111</v>
      </c>
      <c r="B1012" s="628"/>
      <c r="C1012" s="623"/>
      <c r="D1012" s="623"/>
      <c r="E1012" s="627" t="s">
        <v>1844</v>
      </c>
      <c r="F1012" s="631" t="s">
        <v>1845</v>
      </c>
      <c r="G1012" s="661">
        <v>111</v>
      </c>
      <c r="H1012" s="633">
        <v>2111</v>
      </c>
      <c r="I1012" s="618"/>
      <c r="J1012" s="619" t="s">
        <v>1844</v>
      </c>
      <c r="K1012" s="618"/>
      <c r="L1012" s="619">
        <v>81</v>
      </c>
      <c r="M1012" s="620">
        <v>76</v>
      </c>
      <c r="N1012" s="619"/>
      <c r="O1012" s="619">
        <v>13</v>
      </c>
      <c r="P1012" s="619" t="s">
        <v>760</v>
      </c>
      <c r="Q1012" s="662" t="s">
        <v>1545</v>
      </c>
      <c r="R1012" s="618"/>
      <c r="S1012" s="621" t="s">
        <v>1846</v>
      </c>
      <c r="T1012" s="619" t="s">
        <v>1847</v>
      </c>
    </row>
    <row r="1013" spans="1:20">
      <c r="A1013" s="630">
        <v>1132113</v>
      </c>
      <c r="B1013" s="628"/>
      <c r="C1013" s="623"/>
      <c r="D1013" s="623"/>
      <c r="E1013" s="627" t="s">
        <v>1848</v>
      </c>
      <c r="F1013" s="631" t="s">
        <v>1849</v>
      </c>
      <c r="G1013" s="661">
        <v>113</v>
      </c>
      <c r="H1013" s="633">
        <v>2113</v>
      </c>
      <c r="I1013" s="618"/>
      <c r="J1013" s="619" t="s">
        <v>1848</v>
      </c>
      <c r="K1013" s="618"/>
      <c r="L1013" s="619">
        <v>83</v>
      </c>
      <c r="M1013" s="620">
        <v>78</v>
      </c>
      <c r="N1013" s="619"/>
      <c r="O1013" s="619">
        <v>13</v>
      </c>
      <c r="P1013" s="619" t="s">
        <v>760</v>
      </c>
      <c r="Q1013" s="662" t="s">
        <v>1545</v>
      </c>
      <c r="R1013" s="618"/>
      <c r="S1013" s="621" t="s">
        <v>1846</v>
      </c>
      <c r="T1013" s="619" t="s">
        <v>1850</v>
      </c>
    </row>
    <row r="1014" spans="1:20">
      <c r="A1014" s="630">
        <v>1142110</v>
      </c>
      <c r="B1014" s="628"/>
      <c r="C1014" s="623"/>
      <c r="D1014" s="623"/>
      <c r="E1014" s="627" t="s">
        <v>1851</v>
      </c>
      <c r="F1014" s="631" t="s">
        <v>1852</v>
      </c>
      <c r="G1014" s="661">
        <v>114</v>
      </c>
      <c r="H1014" s="633">
        <v>2110</v>
      </c>
      <c r="I1014" s="618"/>
      <c r="J1014" s="619" t="s">
        <v>1851</v>
      </c>
      <c r="K1014" s="618"/>
      <c r="L1014" s="619">
        <v>84</v>
      </c>
      <c r="M1014" s="620">
        <v>79</v>
      </c>
      <c r="N1014" s="619"/>
      <c r="O1014" s="619">
        <v>13</v>
      </c>
      <c r="P1014" s="619" t="s">
        <v>760</v>
      </c>
      <c r="Q1014" s="662" t="s">
        <v>1545</v>
      </c>
      <c r="R1014" s="618"/>
      <c r="S1014" s="621" t="s">
        <v>1846</v>
      </c>
      <c r="T1014" s="619" t="s">
        <v>1853</v>
      </c>
    </row>
    <row r="1015" spans="1:20">
      <c r="A1015" s="630">
        <v>1002110</v>
      </c>
      <c r="B1015" s="628"/>
      <c r="C1015" s="623"/>
      <c r="D1015" s="623"/>
      <c r="E1015" s="627" t="s">
        <v>1854</v>
      </c>
      <c r="F1015" s="631" t="s">
        <v>1855</v>
      </c>
      <c r="G1015" s="661">
        <v>100</v>
      </c>
      <c r="H1015" s="633">
        <v>2110</v>
      </c>
      <c r="I1015" s="618"/>
      <c r="J1015" s="619" t="s">
        <v>1854</v>
      </c>
      <c r="K1015" s="618"/>
      <c r="L1015" s="619">
        <v>86</v>
      </c>
      <c r="M1015" s="620">
        <v>81</v>
      </c>
      <c r="N1015" s="619"/>
      <c r="O1015" s="619">
        <v>13</v>
      </c>
      <c r="P1015" s="619" t="s">
        <v>760</v>
      </c>
      <c r="Q1015" s="662" t="s">
        <v>1545</v>
      </c>
      <c r="R1015" s="618"/>
      <c r="S1015" s="621" t="s">
        <v>1846</v>
      </c>
      <c r="T1015" s="619" t="s">
        <v>1856</v>
      </c>
    </row>
    <row r="1016" spans="1:20">
      <c r="A1016" s="630">
        <v>1402110</v>
      </c>
      <c r="B1016" s="628"/>
      <c r="C1016" s="623"/>
      <c r="D1016" s="623"/>
      <c r="E1016" s="627" t="s">
        <v>1857</v>
      </c>
      <c r="F1016" s="631" t="s">
        <v>1858</v>
      </c>
      <c r="G1016" s="661">
        <v>140</v>
      </c>
      <c r="H1016" s="633">
        <v>2110</v>
      </c>
      <c r="I1016" s="618"/>
      <c r="J1016" s="619" t="s">
        <v>1857</v>
      </c>
      <c r="K1016" s="618"/>
      <c r="L1016" s="619">
        <v>86</v>
      </c>
      <c r="M1016" s="620">
        <v>81</v>
      </c>
      <c r="N1016" s="619"/>
      <c r="O1016" s="619">
        <v>13</v>
      </c>
      <c r="P1016" s="619" t="s">
        <v>760</v>
      </c>
      <c r="Q1016" s="662" t="s">
        <v>1545</v>
      </c>
      <c r="R1016" s="618"/>
      <c r="S1016" s="621" t="s">
        <v>1846</v>
      </c>
      <c r="T1016" s="619" t="s">
        <v>1017</v>
      </c>
    </row>
    <row r="1017" spans="1:20">
      <c r="A1017" s="630">
        <v>3002110</v>
      </c>
      <c r="B1017" s="628"/>
      <c r="C1017" s="623"/>
      <c r="D1017" s="623" t="s">
        <v>775</v>
      </c>
      <c r="E1017" s="627" t="s">
        <v>1112</v>
      </c>
      <c r="F1017" s="631" t="s">
        <v>1859</v>
      </c>
      <c r="G1017" s="661">
        <v>300</v>
      </c>
      <c r="H1017" s="633">
        <v>2110</v>
      </c>
      <c r="I1017" s="618"/>
      <c r="J1017" s="619" t="s">
        <v>1112</v>
      </c>
      <c r="K1017" s="618"/>
      <c r="L1017" s="619">
        <v>101</v>
      </c>
      <c r="M1017" s="620">
        <v>96</v>
      </c>
      <c r="N1017" s="619"/>
      <c r="O1017" s="619">
        <v>13</v>
      </c>
      <c r="P1017" s="619" t="s">
        <v>760</v>
      </c>
      <c r="Q1017" s="662" t="s">
        <v>1545</v>
      </c>
      <c r="R1017" s="618"/>
      <c r="S1017" s="621" t="s">
        <v>1846</v>
      </c>
      <c r="T1017" s="619" t="s">
        <v>1112</v>
      </c>
    </row>
    <row r="1018" spans="1:20">
      <c r="A1018" s="622"/>
      <c r="B1018" s="628"/>
      <c r="C1018" s="623"/>
      <c r="D1018" s="623" t="s">
        <v>799</v>
      </c>
      <c r="E1018" s="627" t="s">
        <v>250</v>
      </c>
      <c r="F1018" s="626"/>
      <c r="G1018" s="623"/>
      <c r="H1018" s="627"/>
      <c r="I1018" s="618"/>
      <c r="J1018" s="618"/>
      <c r="K1018" s="618"/>
      <c r="L1018" s="618"/>
      <c r="M1018" s="618"/>
      <c r="N1018" s="618"/>
      <c r="O1018" s="618"/>
      <c r="P1018" s="618"/>
      <c r="Q1018" s="662"/>
      <c r="R1018" s="618"/>
      <c r="S1018" s="621"/>
      <c r="T1018" s="618"/>
    </row>
    <row r="1019" spans="1:20">
      <c r="A1019" s="630">
        <v>4302110</v>
      </c>
      <c r="B1019" s="628"/>
      <c r="C1019" s="623"/>
      <c r="D1019" s="623"/>
      <c r="E1019" s="627" t="s">
        <v>1114</v>
      </c>
      <c r="F1019" s="631" t="s">
        <v>1860</v>
      </c>
      <c r="G1019" s="661">
        <v>430</v>
      </c>
      <c r="H1019" s="633">
        <v>2110</v>
      </c>
      <c r="I1019" s="618"/>
      <c r="J1019" s="619" t="s">
        <v>1114</v>
      </c>
      <c r="K1019" s="618"/>
      <c r="L1019" s="619">
        <v>107</v>
      </c>
      <c r="M1019" s="620">
        <v>102</v>
      </c>
      <c r="N1019" s="619"/>
      <c r="O1019" s="619">
        <v>13</v>
      </c>
      <c r="P1019" s="619" t="s">
        <v>760</v>
      </c>
      <c r="Q1019" s="662" t="s">
        <v>1545</v>
      </c>
      <c r="R1019" s="618"/>
      <c r="S1019" s="621" t="s">
        <v>1846</v>
      </c>
      <c r="T1019" s="619" t="s">
        <v>1021</v>
      </c>
    </row>
    <row r="1020" spans="1:20">
      <c r="A1020" s="630">
        <v>4422110</v>
      </c>
      <c r="B1020" s="628"/>
      <c r="C1020" s="623"/>
      <c r="D1020" s="623"/>
      <c r="E1020" s="627" t="s">
        <v>1116</v>
      </c>
      <c r="F1020" s="631" t="s">
        <v>1861</v>
      </c>
      <c r="G1020" s="661">
        <v>442</v>
      </c>
      <c r="H1020" s="633">
        <v>2110</v>
      </c>
      <c r="I1020" s="618"/>
      <c r="J1020" s="619" t="s">
        <v>1116</v>
      </c>
      <c r="K1020" s="618"/>
      <c r="L1020" s="619">
        <v>106</v>
      </c>
      <c r="M1020" s="620">
        <v>101</v>
      </c>
      <c r="N1020" s="619"/>
      <c r="O1020" s="619">
        <v>13</v>
      </c>
      <c r="P1020" s="619" t="s">
        <v>760</v>
      </c>
      <c r="Q1020" s="662" t="s">
        <v>1545</v>
      </c>
      <c r="R1020" s="618"/>
      <c r="S1020" s="621" t="s">
        <v>1846</v>
      </c>
      <c r="T1020" s="619" t="s">
        <v>1023</v>
      </c>
    </row>
    <row r="1021" spans="1:20">
      <c r="A1021" s="630">
        <v>4002110</v>
      </c>
      <c r="B1021" s="628"/>
      <c r="C1021" s="623"/>
      <c r="D1021" s="623"/>
      <c r="E1021" s="627" t="s">
        <v>1118</v>
      </c>
      <c r="F1021" s="631" t="s">
        <v>1862</v>
      </c>
      <c r="G1021" s="661">
        <v>400</v>
      </c>
      <c r="H1021" s="633">
        <v>2110</v>
      </c>
      <c r="I1021" s="618"/>
      <c r="J1021" s="619" t="s">
        <v>1118</v>
      </c>
      <c r="K1021" s="618"/>
      <c r="L1021" s="619">
        <v>108</v>
      </c>
      <c r="M1021" s="620">
        <v>103</v>
      </c>
      <c r="N1021" s="619"/>
      <c r="O1021" s="619">
        <v>13</v>
      </c>
      <c r="P1021" s="619" t="s">
        <v>760</v>
      </c>
      <c r="Q1021" s="662" t="s">
        <v>1545</v>
      </c>
      <c r="R1021" s="618"/>
      <c r="S1021" s="621" t="s">
        <v>1846</v>
      </c>
      <c r="T1021" s="619" t="s">
        <v>1025</v>
      </c>
    </row>
    <row r="1022" spans="1:20">
      <c r="A1022" s="622"/>
      <c r="B1022" s="628"/>
      <c r="C1022" s="623"/>
      <c r="D1022" s="623" t="s">
        <v>803</v>
      </c>
      <c r="E1022" s="627" t="s">
        <v>252</v>
      </c>
      <c r="F1022" s="626"/>
      <c r="G1022" s="623"/>
      <c r="H1022" s="627"/>
      <c r="I1022" s="618"/>
      <c r="J1022" s="618"/>
      <c r="K1022" s="618"/>
      <c r="L1022" s="618"/>
      <c r="M1022" s="618"/>
      <c r="N1022" s="618"/>
      <c r="O1022" s="618"/>
      <c r="P1022" s="618"/>
      <c r="Q1022" s="662"/>
      <c r="R1022" s="618"/>
      <c r="S1022" s="621"/>
      <c r="T1022" s="618"/>
    </row>
    <row r="1023" spans="1:20">
      <c r="A1023" s="630">
        <v>5822110</v>
      </c>
      <c r="B1023" s="628"/>
      <c r="C1023" s="623"/>
      <c r="D1023" s="623"/>
      <c r="E1023" s="627" t="s">
        <v>1863</v>
      </c>
      <c r="F1023" s="631" t="s">
        <v>1864</v>
      </c>
      <c r="G1023" s="661">
        <v>582</v>
      </c>
      <c r="H1023" s="633">
        <v>2110</v>
      </c>
      <c r="I1023" s="618"/>
      <c r="J1023" s="619" t="s">
        <v>1863</v>
      </c>
      <c r="K1023" s="618"/>
      <c r="L1023" s="619">
        <v>118</v>
      </c>
      <c r="M1023" s="620">
        <v>109</v>
      </c>
      <c r="N1023" s="619"/>
      <c r="O1023" s="619">
        <v>13</v>
      </c>
      <c r="P1023" s="619" t="s">
        <v>760</v>
      </c>
      <c r="Q1023" s="662" t="s">
        <v>1545</v>
      </c>
      <c r="R1023" s="618"/>
      <c r="S1023" s="621" t="s">
        <v>1846</v>
      </c>
      <c r="T1023" s="619" t="s">
        <v>1037</v>
      </c>
    </row>
    <row r="1024" spans="1:20">
      <c r="A1024" s="630">
        <v>5002110</v>
      </c>
      <c r="B1024" s="628"/>
      <c r="C1024" s="623"/>
      <c r="D1024" s="623"/>
      <c r="E1024" s="627" t="s">
        <v>1865</v>
      </c>
      <c r="F1024" s="631" t="s">
        <v>1866</v>
      </c>
      <c r="G1024" s="661">
        <v>500</v>
      </c>
      <c r="H1024" s="633">
        <v>2110</v>
      </c>
      <c r="I1024" s="618"/>
      <c r="J1024" s="619" t="s">
        <v>1865</v>
      </c>
      <c r="K1024" s="618"/>
      <c r="L1024" s="619">
        <v>119</v>
      </c>
      <c r="M1024" s="620">
        <v>110</v>
      </c>
      <c r="N1024" s="619"/>
      <c r="O1024" s="619">
        <v>13</v>
      </c>
      <c r="P1024" s="619" t="s">
        <v>760</v>
      </c>
      <c r="Q1024" s="662" t="s">
        <v>1545</v>
      </c>
      <c r="R1024" s="618"/>
      <c r="S1024" s="621" t="s">
        <v>1846</v>
      </c>
      <c r="T1024" s="619" t="s">
        <v>252</v>
      </c>
    </row>
    <row r="1025" spans="1:20">
      <c r="A1025" s="622"/>
      <c r="B1025" s="628"/>
      <c r="C1025" s="623"/>
      <c r="D1025" s="623" t="s">
        <v>848</v>
      </c>
      <c r="E1025" s="627" t="s">
        <v>254</v>
      </c>
      <c r="F1025" s="626"/>
      <c r="G1025" s="623"/>
      <c r="H1025" s="627"/>
      <c r="I1025" s="618"/>
      <c r="J1025" s="618"/>
      <c r="K1025" s="618"/>
      <c r="L1025" s="618"/>
      <c r="M1025" s="618"/>
      <c r="N1025" s="618"/>
      <c r="O1025" s="618"/>
      <c r="P1025" s="618"/>
      <c r="Q1025" s="662"/>
      <c r="R1025" s="618"/>
      <c r="S1025" s="621"/>
      <c r="T1025" s="618"/>
    </row>
    <row r="1026" spans="1:20">
      <c r="A1026" s="630">
        <v>6152110</v>
      </c>
      <c r="B1026" s="628"/>
      <c r="C1026" s="623"/>
      <c r="D1026" s="623"/>
      <c r="E1026" s="627" t="s">
        <v>1138</v>
      </c>
      <c r="F1026" s="631" t="s">
        <v>1867</v>
      </c>
      <c r="G1026" s="661">
        <v>615</v>
      </c>
      <c r="H1026" s="633">
        <v>2110</v>
      </c>
      <c r="I1026" s="618"/>
      <c r="J1026" s="619" t="s">
        <v>1138</v>
      </c>
      <c r="K1026" s="618"/>
      <c r="L1026" s="619">
        <v>126</v>
      </c>
      <c r="M1026" s="620">
        <v>117</v>
      </c>
      <c r="N1026" s="619"/>
      <c r="O1026" s="619">
        <v>13</v>
      </c>
      <c r="P1026" s="619" t="s">
        <v>760</v>
      </c>
      <c r="Q1026" s="662" t="s">
        <v>1545</v>
      </c>
      <c r="R1026" s="618"/>
      <c r="S1026" s="621" t="s">
        <v>1846</v>
      </c>
      <c r="T1026" s="619" t="s">
        <v>1041</v>
      </c>
    </row>
    <row r="1027" spans="1:20">
      <c r="A1027" s="630">
        <v>6102110</v>
      </c>
      <c r="B1027" s="628"/>
      <c r="C1027" s="623"/>
      <c r="D1027" s="623"/>
      <c r="E1027" s="627" t="s">
        <v>1140</v>
      </c>
      <c r="F1027" s="631" t="s">
        <v>1868</v>
      </c>
      <c r="G1027" s="661">
        <v>610</v>
      </c>
      <c r="H1027" s="633">
        <v>2110</v>
      </c>
      <c r="I1027" s="618"/>
      <c r="J1027" s="619" t="s">
        <v>1140</v>
      </c>
      <c r="K1027" s="618"/>
      <c r="L1027" s="619">
        <v>122</v>
      </c>
      <c r="M1027" s="620">
        <v>113</v>
      </c>
      <c r="N1027" s="619"/>
      <c r="O1027" s="619">
        <v>13</v>
      </c>
      <c r="P1027" s="619" t="s">
        <v>760</v>
      </c>
      <c r="Q1027" s="662" t="s">
        <v>1545</v>
      </c>
      <c r="R1027" s="618"/>
      <c r="S1027" s="621" t="s">
        <v>1846</v>
      </c>
      <c r="T1027" s="619" t="s">
        <v>39</v>
      </c>
    </row>
    <row r="1028" spans="1:20">
      <c r="A1028" s="630">
        <v>6002110</v>
      </c>
      <c r="B1028" s="628"/>
      <c r="C1028" s="623"/>
      <c r="D1028" s="623"/>
      <c r="E1028" s="627" t="s">
        <v>1869</v>
      </c>
      <c r="F1028" s="631" t="s">
        <v>1870</v>
      </c>
      <c r="G1028" s="661">
        <v>600</v>
      </c>
      <c r="H1028" s="633">
        <v>2110</v>
      </c>
      <c r="I1028" s="618"/>
      <c r="J1028" s="619" t="s">
        <v>1869</v>
      </c>
      <c r="K1028" s="618"/>
      <c r="L1028" s="619">
        <v>126</v>
      </c>
      <c r="M1028" s="620">
        <v>117</v>
      </c>
      <c r="N1028" s="619"/>
      <c r="O1028" s="619">
        <v>13</v>
      </c>
      <c r="P1028" s="619" t="s">
        <v>760</v>
      </c>
      <c r="Q1028" s="662" t="s">
        <v>1545</v>
      </c>
      <c r="R1028" s="618"/>
      <c r="S1028" s="621" t="s">
        <v>1846</v>
      </c>
      <c r="T1028" s="619" t="s">
        <v>1048</v>
      </c>
    </row>
    <row r="1029" spans="1:20">
      <c r="A1029" s="622"/>
      <c r="B1029" s="628"/>
      <c r="C1029" s="623"/>
      <c r="D1029" s="623" t="s">
        <v>851</v>
      </c>
      <c r="E1029" s="627" t="s">
        <v>1050</v>
      </c>
      <c r="F1029" s="626"/>
      <c r="G1029" s="623"/>
      <c r="H1029" s="627"/>
      <c r="I1029" s="618"/>
      <c r="J1029" s="618"/>
      <c r="K1029" s="618"/>
      <c r="L1029" s="618"/>
      <c r="M1029" s="618"/>
      <c r="N1029" s="618"/>
      <c r="O1029" s="618"/>
      <c r="P1029" s="618"/>
      <c r="Q1029" s="662"/>
      <c r="R1029" s="618"/>
      <c r="S1029" s="621"/>
      <c r="T1029" s="618"/>
    </row>
    <row r="1030" spans="1:20">
      <c r="A1030" s="630">
        <v>7342110</v>
      </c>
      <c r="B1030" s="628"/>
      <c r="C1030" s="623"/>
      <c r="D1030" s="623"/>
      <c r="E1030" s="627" t="s">
        <v>1146</v>
      </c>
      <c r="F1030" s="631" t="s">
        <v>1871</v>
      </c>
      <c r="G1030" s="661">
        <v>734</v>
      </c>
      <c r="H1030" s="633">
        <v>2110</v>
      </c>
      <c r="I1030" s="618"/>
      <c r="J1030" s="619" t="s">
        <v>1146</v>
      </c>
      <c r="K1030" s="618"/>
      <c r="L1030" s="619">
        <v>131</v>
      </c>
      <c r="M1030" s="620">
        <v>122</v>
      </c>
      <c r="N1030" s="619"/>
      <c r="O1030" s="619">
        <v>13</v>
      </c>
      <c r="P1030" s="619" t="s">
        <v>760</v>
      </c>
      <c r="Q1030" s="662" t="s">
        <v>1545</v>
      </c>
      <c r="R1030" s="618"/>
      <c r="S1030" s="621" t="s">
        <v>1846</v>
      </c>
      <c r="T1030" s="619" t="s">
        <v>1051</v>
      </c>
    </row>
    <row r="1031" spans="1:20">
      <c r="A1031" s="630">
        <v>7352110</v>
      </c>
      <c r="B1031" s="628"/>
      <c r="C1031" s="623"/>
      <c r="D1031" s="623"/>
      <c r="E1031" s="627" t="s">
        <v>1148</v>
      </c>
      <c r="F1031" s="631" t="s">
        <v>1872</v>
      </c>
      <c r="G1031" s="661">
        <v>735</v>
      </c>
      <c r="H1031" s="633">
        <v>2110</v>
      </c>
      <c r="I1031" s="618"/>
      <c r="J1031" s="619" t="s">
        <v>1148</v>
      </c>
      <c r="K1031" s="618"/>
      <c r="L1031" s="619">
        <v>131</v>
      </c>
      <c r="M1031" s="620">
        <v>122</v>
      </c>
      <c r="N1031" s="619"/>
      <c r="O1031" s="619">
        <v>13</v>
      </c>
      <c r="P1031" s="619" t="s">
        <v>760</v>
      </c>
      <c r="Q1031" s="662" t="s">
        <v>1545</v>
      </c>
      <c r="R1031" s="618"/>
      <c r="S1031" s="621" t="s">
        <v>1846</v>
      </c>
      <c r="T1031" s="619" t="s">
        <v>1053</v>
      </c>
    </row>
    <row r="1032" spans="1:20">
      <c r="A1032" s="630">
        <v>7302110</v>
      </c>
      <c r="B1032" s="628"/>
      <c r="C1032" s="623"/>
      <c r="D1032" s="623"/>
      <c r="E1032" s="627" t="s">
        <v>1150</v>
      </c>
      <c r="F1032" s="631" t="s">
        <v>1873</v>
      </c>
      <c r="G1032" s="661">
        <v>730</v>
      </c>
      <c r="H1032" s="633">
        <v>2110</v>
      </c>
      <c r="I1032" s="618"/>
      <c r="J1032" s="619" t="s">
        <v>1150</v>
      </c>
      <c r="K1032" s="618"/>
      <c r="L1032" s="619">
        <v>131</v>
      </c>
      <c r="M1032" s="620">
        <v>122</v>
      </c>
      <c r="N1032" s="619"/>
      <c r="O1032" s="619">
        <v>13</v>
      </c>
      <c r="P1032" s="619" t="s">
        <v>760</v>
      </c>
      <c r="Q1032" s="662" t="s">
        <v>1545</v>
      </c>
      <c r="R1032" s="618"/>
      <c r="S1032" s="621" t="s">
        <v>1846</v>
      </c>
      <c r="T1032" s="619" t="s">
        <v>1055</v>
      </c>
    </row>
    <row r="1033" spans="1:20">
      <c r="A1033" s="630">
        <v>7002110</v>
      </c>
      <c r="B1033" s="628"/>
      <c r="C1033" s="623"/>
      <c r="D1033" s="623"/>
      <c r="E1033" s="627" t="s">
        <v>1152</v>
      </c>
      <c r="F1033" s="631" t="s">
        <v>1874</v>
      </c>
      <c r="G1033" s="661">
        <v>700</v>
      </c>
      <c r="H1033" s="633">
        <v>2110</v>
      </c>
      <c r="I1033" s="618"/>
      <c r="J1033" s="619" t="s">
        <v>1152</v>
      </c>
      <c r="K1033" s="618"/>
      <c r="L1033" s="619">
        <v>132</v>
      </c>
      <c r="M1033" s="620">
        <v>123</v>
      </c>
      <c r="N1033" s="619"/>
      <c r="O1033" s="619">
        <v>13</v>
      </c>
      <c r="P1033" s="619" t="s">
        <v>760</v>
      </c>
      <c r="Q1033" s="662" t="s">
        <v>1545</v>
      </c>
      <c r="R1033" s="618"/>
      <c r="S1033" s="621" t="s">
        <v>1846</v>
      </c>
      <c r="T1033" s="619" t="s">
        <v>1057</v>
      </c>
    </row>
    <row r="1034" spans="1:20">
      <c r="A1034" s="622"/>
      <c r="B1034" s="628"/>
      <c r="C1034" s="623"/>
      <c r="D1034" s="623" t="s">
        <v>854</v>
      </c>
      <c r="E1034" s="627" t="s">
        <v>256</v>
      </c>
      <c r="F1034" s="626"/>
      <c r="G1034" s="623"/>
      <c r="H1034" s="627"/>
      <c r="I1034" s="618"/>
      <c r="J1034" s="618"/>
      <c r="K1034" s="618"/>
      <c r="L1034" s="618"/>
      <c r="M1034" s="618"/>
      <c r="N1034" s="618"/>
      <c r="O1034" s="618"/>
      <c r="P1034" s="618"/>
      <c r="Q1034" s="662"/>
      <c r="R1034" s="618"/>
      <c r="S1034" s="621"/>
      <c r="T1034" s="618"/>
    </row>
    <row r="1035" spans="1:20">
      <c r="A1035" s="630">
        <v>8952110</v>
      </c>
      <c r="B1035" s="628"/>
      <c r="C1035" s="623"/>
      <c r="D1035" s="623"/>
      <c r="E1035" s="627" t="s">
        <v>1154</v>
      </c>
      <c r="F1035" s="631" t="s">
        <v>1875</v>
      </c>
      <c r="G1035" s="661">
        <v>895</v>
      </c>
      <c r="H1035" s="633">
        <v>2110</v>
      </c>
      <c r="I1035" s="618"/>
      <c r="J1035" s="619" t="s">
        <v>1154</v>
      </c>
      <c r="K1035" s="618"/>
      <c r="L1035" s="619">
        <v>139</v>
      </c>
      <c r="M1035" s="620">
        <v>129</v>
      </c>
      <c r="N1035" s="619"/>
      <c r="O1035" s="619">
        <v>13</v>
      </c>
      <c r="P1035" s="619" t="s">
        <v>760</v>
      </c>
      <c r="Q1035" s="662" t="s">
        <v>1545</v>
      </c>
      <c r="R1035" s="618"/>
      <c r="S1035" s="621" t="s">
        <v>1846</v>
      </c>
      <c r="T1035" s="619" t="s">
        <v>1059</v>
      </c>
    </row>
    <row r="1036" spans="1:20">
      <c r="A1036" s="630">
        <v>8002110</v>
      </c>
      <c r="B1036" s="628"/>
      <c r="C1036" s="623"/>
      <c r="D1036" s="623"/>
      <c r="E1036" s="627" t="s">
        <v>1156</v>
      </c>
      <c r="F1036" s="631" t="s">
        <v>1876</v>
      </c>
      <c r="G1036" s="661">
        <v>800</v>
      </c>
      <c r="H1036" s="633">
        <v>2110</v>
      </c>
      <c r="I1036" s="618"/>
      <c r="J1036" s="619" t="s">
        <v>1156</v>
      </c>
      <c r="K1036" s="618"/>
      <c r="L1036" s="619">
        <v>139</v>
      </c>
      <c r="M1036" s="620">
        <v>129</v>
      </c>
      <c r="N1036" s="619"/>
      <c r="O1036" s="619">
        <v>13</v>
      </c>
      <c r="P1036" s="619" t="s">
        <v>760</v>
      </c>
      <c r="Q1036" s="662" t="s">
        <v>1545</v>
      </c>
      <c r="R1036" s="618"/>
      <c r="S1036" s="621" t="s">
        <v>1846</v>
      </c>
      <c r="T1036" s="619" t="s">
        <v>1061</v>
      </c>
    </row>
    <row r="1037" spans="1:20">
      <c r="A1037" s="622"/>
      <c r="B1037" s="628"/>
      <c r="C1037" s="623"/>
      <c r="D1037" s="623" t="s">
        <v>857</v>
      </c>
      <c r="E1037" s="627" t="s">
        <v>1063</v>
      </c>
      <c r="F1037" s="626"/>
      <c r="G1037" s="623"/>
      <c r="H1037" s="627"/>
      <c r="I1037" s="618"/>
      <c r="J1037" s="618"/>
      <c r="K1037" s="618"/>
      <c r="L1037" s="618"/>
      <c r="M1037" s="618"/>
      <c r="N1037" s="618"/>
      <c r="O1037" s="618"/>
      <c r="P1037" s="618"/>
      <c r="Q1037" s="662"/>
      <c r="R1037" s="618"/>
      <c r="S1037" s="621"/>
      <c r="T1037" s="618"/>
    </row>
    <row r="1038" spans="1:20">
      <c r="A1038" s="630">
        <v>2102110</v>
      </c>
      <c r="B1038" s="628"/>
      <c r="C1038" s="623"/>
      <c r="D1038" s="623"/>
      <c r="E1038" s="627" t="s">
        <v>1158</v>
      </c>
      <c r="F1038" s="631" t="s">
        <v>1877</v>
      </c>
      <c r="G1038" s="661">
        <v>210</v>
      </c>
      <c r="H1038" s="633">
        <v>2110</v>
      </c>
      <c r="I1038" s="618"/>
      <c r="J1038" s="619" t="s">
        <v>1158</v>
      </c>
      <c r="K1038" s="618"/>
      <c r="L1038" s="619">
        <v>89</v>
      </c>
      <c r="M1038" s="620">
        <v>84</v>
      </c>
      <c r="N1038" s="619"/>
      <c r="O1038" s="619">
        <v>13</v>
      </c>
      <c r="P1038" s="619" t="s">
        <v>760</v>
      </c>
      <c r="Q1038" s="662" t="s">
        <v>1545</v>
      </c>
      <c r="R1038" s="618"/>
      <c r="S1038" s="621" t="s">
        <v>1846</v>
      </c>
      <c r="T1038" s="619" t="s">
        <v>1064</v>
      </c>
    </row>
    <row r="1039" spans="1:20">
      <c r="A1039" s="630">
        <v>2202110</v>
      </c>
      <c r="B1039" s="628"/>
      <c r="C1039" s="623"/>
      <c r="D1039" s="623"/>
      <c r="E1039" s="627" t="s">
        <v>1160</v>
      </c>
      <c r="F1039" s="631" t="s">
        <v>1878</v>
      </c>
      <c r="G1039" s="661">
        <v>220</v>
      </c>
      <c r="H1039" s="633">
        <v>2110</v>
      </c>
      <c r="I1039" s="618"/>
      <c r="J1039" s="619" t="s">
        <v>1160</v>
      </c>
      <c r="K1039" s="618"/>
      <c r="L1039" s="619">
        <v>90</v>
      </c>
      <c r="M1039" s="620">
        <v>85</v>
      </c>
      <c r="N1039" s="619"/>
      <c r="O1039" s="619">
        <v>13</v>
      </c>
      <c r="P1039" s="619" t="s">
        <v>760</v>
      </c>
      <c r="Q1039" s="662" t="s">
        <v>1545</v>
      </c>
      <c r="R1039" s="618"/>
      <c r="S1039" s="621" t="s">
        <v>1846</v>
      </c>
      <c r="T1039" s="619" t="s">
        <v>1066</v>
      </c>
    </row>
    <row r="1040" spans="1:20">
      <c r="A1040" s="630">
        <v>2252110</v>
      </c>
      <c r="B1040" s="628"/>
      <c r="C1040" s="623"/>
      <c r="D1040" s="623"/>
      <c r="E1040" s="627" t="s">
        <v>1162</v>
      </c>
      <c r="F1040" s="631" t="s">
        <v>1879</v>
      </c>
      <c r="G1040" s="661">
        <v>225</v>
      </c>
      <c r="H1040" s="633">
        <v>2110</v>
      </c>
      <c r="I1040" s="618"/>
      <c r="J1040" s="619" t="s">
        <v>1162</v>
      </c>
      <c r="K1040" s="618"/>
      <c r="L1040" s="619">
        <v>91</v>
      </c>
      <c r="M1040" s="620">
        <v>86</v>
      </c>
      <c r="N1040" s="619"/>
      <c r="O1040" s="619">
        <v>13</v>
      </c>
      <c r="P1040" s="619" t="s">
        <v>760</v>
      </c>
      <c r="Q1040" s="662" t="s">
        <v>1545</v>
      </c>
      <c r="R1040" s="618"/>
      <c r="S1040" s="621" t="s">
        <v>1846</v>
      </c>
      <c r="T1040" s="619" t="s">
        <v>23</v>
      </c>
    </row>
    <row r="1041" spans="1:20">
      <c r="A1041" s="622"/>
      <c r="B1041" s="628"/>
      <c r="C1041" s="623"/>
      <c r="D1041" s="623"/>
      <c r="E1041" s="627" t="s">
        <v>1164</v>
      </c>
      <c r="F1041" s="626"/>
      <c r="G1041" s="623"/>
      <c r="H1041" s="627"/>
      <c r="I1041" s="618"/>
      <c r="J1041" s="618"/>
      <c r="K1041" s="618"/>
      <c r="L1041" s="618"/>
      <c r="M1041" s="618"/>
      <c r="N1041" s="618"/>
      <c r="O1041" s="618"/>
      <c r="P1041" s="618"/>
      <c r="Q1041" s="662"/>
      <c r="R1041" s="618"/>
      <c r="S1041" s="621"/>
      <c r="T1041" s="618"/>
    </row>
    <row r="1042" spans="1:20">
      <c r="A1042" s="630">
        <v>2312110</v>
      </c>
      <c r="B1042" s="628"/>
      <c r="C1042" s="623"/>
      <c r="D1042" s="623"/>
      <c r="E1042" s="627" t="s">
        <v>1165</v>
      </c>
      <c r="F1042" s="631" t="s">
        <v>1880</v>
      </c>
      <c r="G1042" s="661">
        <v>231</v>
      </c>
      <c r="H1042" s="633">
        <v>2110</v>
      </c>
      <c r="I1042" s="618"/>
      <c r="J1042" s="619" t="s">
        <v>1165</v>
      </c>
      <c r="K1042" s="618"/>
      <c r="L1042" s="619">
        <v>92</v>
      </c>
      <c r="M1042" s="620">
        <v>87</v>
      </c>
      <c r="N1042" s="619"/>
      <c r="O1042" s="619">
        <v>13</v>
      </c>
      <c r="P1042" s="619" t="s">
        <v>760</v>
      </c>
      <c r="Q1042" s="662" t="s">
        <v>1545</v>
      </c>
      <c r="R1042" s="618"/>
      <c r="S1042" s="621" t="s">
        <v>1846</v>
      </c>
      <c r="T1042" s="619" t="s">
        <v>1072</v>
      </c>
    </row>
    <row r="1043" spans="1:20">
      <c r="A1043" s="630">
        <v>2332110</v>
      </c>
      <c r="B1043" s="628"/>
      <c r="C1043" s="623"/>
      <c r="D1043" s="623"/>
      <c r="E1043" s="627" t="s">
        <v>1167</v>
      </c>
      <c r="F1043" s="631" t="s">
        <v>1881</v>
      </c>
      <c r="G1043" s="661">
        <v>233</v>
      </c>
      <c r="H1043" s="633">
        <v>2110</v>
      </c>
      <c r="I1043" s="618"/>
      <c r="J1043" s="619" t="s">
        <v>1167</v>
      </c>
      <c r="K1043" s="618"/>
      <c r="L1043" s="619">
        <v>92</v>
      </c>
      <c r="M1043" s="620">
        <v>87</v>
      </c>
      <c r="N1043" s="619"/>
      <c r="O1043" s="619">
        <v>13</v>
      </c>
      <c r="P1043" s="619" t="s">
        <v>760</v>
      </c>
      <c r="Q1043" s="662" t="s">
        <v>1545</v>
      </c>
      <c r="R1043" s="618"/>
      <c r="S1043" s="621" t="s">
        <v>1846</v>
      </c>
      <c r="T1043" s="619" t="s">
        <v>1169</v>
      </c>
    </row>
    <row r="1044" spans="1:20">
      <c r="A1044" s="630">
        <v>2392110</v>
      </c>
      <c r="B1044" s="628"/>
      <c r="C1044" s="623"/>
      <c r="D1044" s="623"/>
      <c r="E1044" s="627" t="s">
        <v>1170</v>
      </c>
      <c r="F1044" s="631" t="s">
        <v>1882</v>
      </c>
      <c r="G1044" s="661">
        <v>239</v>
      </c>
      <c r="H1044" s="633">
        <v>2110</v>
      </c>
      <c r="I1044" s="618"/>
      <c r="J1044" s="619" t="s">
        <v>1170</v>
      </c>
      <c r="K1044" s="618"/>
      <c r="L1044" s="619">
        <v>92</v>
      </c>
      <c r="M1044" s="620">
        <v>87</v>
      </c>
      <c r="N1044" s="619"/>
      <c r="O1044" s="619">
        <v>13</v>
      </c>
      <c r="P1044" s="619" t="s">
        <v>760</v>
      </c>
      <c r="Q1044" s="662" t="s">
        <v>1545</v>
      </c>
      <c r="R1044" s="618"/>
      <c r="S1044" s="621" t="s">
        <v>1846</v>
      </c>
      <c r="T1044" s="619" t="s">
        <v>1078</v>
      </c>
    </row>
    <row r="1045" spans="1:20">
      <c r="A1045" s="630">
        <v>2502110</v>
      </c>
      <c r="B1045" s="628"/>
      <c r="C1045" s="623"/>
      <c r="D1045" s="623"/>
      <c r="E1045" s="627" t="s">
        <v>1172</v>
      </c>
      <c r="F1045" s="631" t="s">
        <v>1883</v>
      </c>
      <c r="G1045" s="661">
        <v>250</v>
      </c>
      <c r="H1045" s="633">
        <v>2110</v>
      </c>
      <c r="I1045" s="618"/>
      <c r="J1045" s="619" t="s">
        <v>1172</v>
      </c>
      <c r="K1045" s="618"/>
      <c r="L1045" s="619">
        <v>93</v>
      </c>
      <c r="M1045" s="620">
        <v>88</v>
      </c>
      <c r="N1045" s="619"/>
      <c r="O1045" s="619">
        <v>13</v>
      </c>
      <c r="P1045" s="619" t="s">
        <v>760</v>
      </c>
      <c r="Q1045" s="662" t="s">
        <v>1545</v>
      </c>
      <c r="R1045" s="618"/>
      <c r="S1045" s="621" t="s">
        <v>1846</v>
      </c>
      <c r="T1045" s="619" t="s">
        <v>1079</v>
      </c>
    </row>
    <row r="1046" spans="1:20">
      <c r="A1046" s="630">
        <v>2602110</v>
      </c>
      <c r="B1046" s="628"/>
      <c r="C1046" s="623"/>
      <c r="D1046" s="623"/>
      <c r="E1046" s="627" t="s">
        <v>1174</v>
      </c>
      <c r="F1046" s="631" t="s">
        <v>1884</v>
      </c>
      <c r="G1046" s="661">
        <v>260</v>
      </c>
      <c r="H1046" s="633">
        <v>2110</v>
      </c>
      <c r="I1046" s="618"/>
      <c r="J1046" s="619" t="s">
        <v>1174</v>
      </c>
      <c r="K1046" s="618"/>
      <c r="L1046" s="619">
        <v>95</v>
      </c>
      <c r="M1046" s="620">
        <v>90</v>
      </c>
      <c r="N1046" s="619"/>
      <c r="O1046" s="619">
        <v>13</v>
      </c>
      <c r="P1046" s="619" t="s">
        <v>760</v>
      </c>
      <c r="Q1046" s="662" t="s">
        <v>1545</v>
      </c>
      <c r="R1046" s="618"/>
      <c r="S1046" s="621" t="s">
        <v>1846</v>
      </c>
      <c r="T1046" s="619" t="s">
        <v>1081</v>
      </c>
    </row>
    <row r="1047" spans="1:20">
      <c r="A1047" s="630">
        <v>2702110</v>
      </c>
      <c r="B1047" s="628"/>
      <c r="C1047" s="623"/>
      <c r="D1047" s="623"/>
      <c r="E1047" s="627" t="s">
        <v>1176</v>
      </c>
      <c r="F1047" s="631" t="s">
        <v>1885</v>
      </c>
      <c r="G1047" s="661">
        <v>270</v>
      </c>
      <c r="H1047" s="633">
        <v>2110</v>
      </c>
      <c r="I1047" s="618"/>
      <c r="J1047" s="619" t="s">
        <v>1176</v>
      </c>
      <c r="K1047" s="618"/>
      <c r="L1047" s="619">
        <v>94</v>
      </c>
      <c r="M1047" s="620">
        <v>89</v>
      </c>
      <c r="N1047" s="619"/>
      <c r="O1047" s="619">
        <v>13</v>
      </c>
      <c r="P1047" s="619" t="s">
        <v>760</v>
      </c>
      <c r="Q1047" s="662" t="s">
        <v>1545</v>
      </c>
      <c r="R1047" s="618"/>
      <c r="S1047" s="621" t="s">
        <v>1846</v>
      </c>
      <c r="T1047" s="619" t="s">
        <v>1083</v>
      </c>
    </row>
    <row r="1048" spans="1:20">
      <c r="A1048" s="630">
        <v>2812110</v>
      </c>
      <c r="B1048" s="628"/>
      <c r="C1048" s="623"/>
      <c r="D1048" s="623"/>
      <c r="E1048" s="627" t="s">
        <v>1178</v>
      </c>
      <c r="F1048" s="631" t="s">
        <v>1886</v>
      </c>
      <c r="G1048" s="661">
        <v>281</v>
      </c>
      <c r="H1048" s="633">
        <v>2110</v>
      </c>
      <c r="I1048" s="618"/>
      <c r="J1048" s="619" t="s">
        <v>1178</v>
      </c>
      <c r="K1048" s="618"/>
      <c r="L1048" s="619">
        <v>95</v>
      </c>
      <c r="M1048" s="620">
        <v>90</v>
      </c>
      <c r="N1048" s="619"/>
      <c r="O1048" s="619">
        <v>13</v>
      </c>
      <c r="P1048" s="619" t="s">
        <v>760</v>
      </c>
      <c r="Q1048" s="662" t="s">
        <v>1545</v>
      </c>
      <c r="R1048" s="618"/>
      <c r="S1048" s="621" t="s">
        <v>1846</v>
      </c>
      <c r="T1048" s="619" t="s">
        <v>1085</v>
      </c>
    </row>
    <row r="1049" spans="1:20">
      <c r="A1049" s="630">
        <v>2822110</v>
      </c>
      <c r="B1049" s="628"/>
      <c r="C1049" s="623"/>
      <c r="D1049" s="623"/>
      <c r="E1049" s="627" t="s">
        <v>1180</v>
      </c>
      <c r="F1049" s="631" t="s">
        <v>1887</v>
      </c>
      <c r="G1049" s="661">
        <v>282</v>
      </c>
      <c r="H1049" s="633">
        <v>2110</v>
      </c>
      <c r="I1049" s="618"/>
      <c r="J1049" s="619" t="s">
        <v>1180</v>
      </c>
      <c r="K1049" s="618"/>
      <c r="L1049" s="619">
        <v>95</v>
      </c>
      <c r="M1049" s="620">
        <v>90</v>
      </c>
      <c r="N1049" s="619"/>
      <c r="O1049" s="619">
        <v>13</v>
      </c>
      <c r="P1049" s="619" t="s">
        <v>760</v>
      </c>
      <c r="Q1049" s="662" t="s">
        <v>1545</v>
      </c>
      <c r="R1049" s="618"/>
      <c r="S1049" s="621" t="s">
        <v>1846</v>
      </c>
      <c r="T1049" s="619" t="s">
        <v>1087</v>
      </c>
    </row>
    <row r="1050" spans="1:20">
      <c r="A1050" s="630">
        <v>2902110</v>
      </c>
      <c r="B1050" s="628"/>
      <c r="C1050" s="623"/>
      <c r="D1050" s="623"/>
      <c r="E1050" s="627" t="s">
        <v>1182</v>
      </c>
      <c r="F1050" s="631" t="s">
        <v>1888</v>
      </c>
      <c r="G1050" s="661">
        <v>290</v>
      </c>
      <c r="H1050" s="633">
        <v>2110</v>
      </c>
      <c r="I1050" s="618"/>
      <c r="J1050" s="619" t="s">
        <v>1182</v>
      </c>
      <c r="K1050" s="618"/>
      <c r="L1050" s="619">
        <v>95</v>
      </c>
      <c r="M1050" s="620">
        <v>90</v>
      </c>
      <c r="N1050" s="619"/>
      <c r="O1050" s="619">
        <v>13</v>
      </c>
      <c r="P1050" s="619" t="s">
        <v>760</v>
      </c>
      <c r="Q1050" s="662" t="s">
        <v>1545</v>
      </c>
      <c r="R1050" s="618"/>
      <c r="S1050" s="621" t="s">
        <v>1846</v>
      </c>
      <c r="T1050" s="619" t="s">
        <v>1090</v>
      </c>
    </row>
    <row r="1051" spans="1:20">
      <c r="A1051" s="622"/>
      <c r="B1051" s="628"/>
      <c r="C1051" s="629">
        <v>48</v>
      </c>
      <c r="D1051" s="784" t="s">
        <v>1889</v>
      </c>
      <c r="E1051" s="775"/>
      <c r="F1051" s="626"/>
      <c r="G1051" s="623"/>
      <c r="H1051" s="627"/>
      <c r="I1051" s="618"/>
      <c r="J1051" s="618"/>
      <c r="K1051" s="618"/>
      <c r="L1051" s="618"/>
      <c r="M1051" s="618"/>
      <c r="N1051" s="618"/>
      <c r="O1051" s="618"/>
      <c r="P1051" s="618"/>
      <c r="Q1051" s="662"/>
      <c r="R1051" s="618"/>
      <c r="S1051" s="621"/>
      <c r="T1051" s="618"/>
    </row>
    <row r="1052" spans="1:20">
      <c r="A1052" s="622"/>
      <c r="B1052" s="628"/>
      <c r="C1052" s="623"/>
      <c r="D1052" s="623" t="s">
        <v>756</v>
      </c>
      <c r="E1052" s="627" t="s">
        <v>244</v>
      </c>
      <c r="F1052" s="626"/>
      <c r="G1052" s="623"/>
      <c r="H1052" s="627"/>
      <c r="I1052" s="618"/>
      <c r="J1052" s="618"/>
      <c r="K1052" s="618"/>
      <c r="L1052" s="618"/>
      <c r="M1052" s="618"/>
      <c r="N1052" s="618"/>
      <c r="O1052" s="618"/>
      <c r="P1052" s="618"/>
      <c r="Q1052" s="662"/>
      <c r="R1052" s="618"/>
      <c r="S1052" s="621"/>
      <c r="T1052" s="618"/>
    </row>
    <row r="1053" spans="1:20">
      <c r="A1053" s="630">
        <v>1112121</v>
      </c>
      <c r="B1053" s="628"/>
      <c r="C1053" s="623"/>
      <c r="D1053" s="623"/>
      <c r="E1053" s="627" t="s">
        <v>1844</v>
      </c>
      <c r="F1053" s="631" t="s">
        <v>1890</v>
      </c>
      <c r="G1053" s="661">
        <v>111</v>
      </c>
      <c r="H1053" s="633">
        <v>2121</v>
      </c>
      <c r="I1053" s="618"/>
      <c r="J1053" s="619" t="s">
        <v>1844</v>
      </c>
      <c r="K1053" s="618"/>
      <c r="L1053" s="619">
        <v>81</v>
      </c>
      <c r="M1053" s="620">
        <v>76</v>
      </c>
      <c r="N1053" s="619"/>
      <c r="O1053" s="619">
        <v>13</v>
      </c>
      <c r="P1053" s="619" t="s">
        <v>760</v>
      </c>
      <c r="Q1053" s="662" t="s">
        <v>1002</v>
      </c>
      <c r="R1053" s="618"/>
      <c r="S1053" s="621" t="s">
        <v>1891</v>
      </c>
      <c r="T1053" s="619" t="s">
        <v>1847</v>
      </c>
    </row>
    <row r="1054" spans="1:20">
      <c r="A1054" s="630">
        <v>1132122</v>
      </c>
      <c r="B1054" s="628"/>
      <c r="C1054" s="623"/>
      <c r="D1054" s="623"/>
      <c r="E1054" s="627" t="s">
        <v>1892</v>
      </c>
      <c r="F1054" s="631" t="s">
        <v>1893</v>
      </c>
      <c r="G1054" s="661">
        <v>113</v>
      </c>
      <c r="H1054" s="633">
        <v>2122</v>
      </c>
      <c r="I1054" s="618"/>
      <c r="J1054" s="619" t="s">
        <v>1892</v>
      </c>
      <c r="K1054" s="618"/>
      <c r="L1054" s="619">
        <v>83</v>
      </c>
      <c r="M1054" s="620">
        <v>78</v>
      </c>
      <c r="N1054" s="619"/>
      <c r="O1054" s="619">
        <v>13</v>
      </c>
      <c r="P1054" s="619" t="s">
        <v>760</v>
      </c>
      <c r="Q1054" s="662" t="s">
        <v>1002</v>
      </c>
      <c r="R1054" s="618"/>
      <c r="S1054" s="621" t="s">
        <v>1891</v>
      </c>
      <c r="T1054" s="619" t="s">
        <v>1894</v>
      </c>
    </row>
    <row r="1055" spans="1:20">
      <c r="A1055" s="630">
        <v>1142120</v>
      </c>
      <c r="B1055" s="628"/>
      <c r="C1055" s="623"/>
      <c r="D1055" s="623"/>
      <c r="E1055" s="627" t="s">
        <v>1851</v>
      </c>
      <c r="F1055" s="631" t="s">
        <v>1895</v>
      </c>
      <c r="G1055" s="661">
        <v>114</v>
      </c>
      <c r="H1055" s="633">
        <v>2120</v>
      </c>
      <c r="I1055" s="618"/>
      <c r="J1055" s="619" t="s">
        <v>1851</v>
      </c>
      <c r="K1055" s="618"/>
      <c r="L1055" s="619">
        <v>84</v>
      </c>
      <c r="M1055" s="620">
        <v>79</v>
      </c>
      <c r="N1055" s="619"/>
      <c r="O1055" s="619">
        <v>13</v>
      </c>
      <c r="P1055" s="619" t="s">
        <v>760</v>
      </c>
      <c r="Q1055" s="662" t="s">
        <v>1002</v>
      </c>
      <c r="R1055" s="618"/>
      <c r="S1055" s="621" t="s">
        <v>1891</v>
      </c>
      <c r="T1055" s="619" t="s">
        <v>1853</v>
      </c>
    </row>
    <row r="1056" spans="1:20">
      <c r="A1056" s="630">
        <v>1002120</v>
      </c>
      <c r="B1056" s="628"/>
      <c r="C1056" s="623"/>
      <c r="D1056" s="623"/>
      <c r="E1056" s="627" t="s">
        <v>1896</v>
      </c>
      <c r="F1056" s="631" t="s">
        <v>1897</v>
      </c>
      <c r="G1056" s="661">
        <v>100</v>
      </c>
      <c r="H1056" s="633">
        <v>2120</v>
      </c>
      <c r="I1056" s="618"/>
      <c r="J1056" s="619" t="s">
        <v>1896</v>
      </c>
      <c r="K1056" s="618"/>
      <c r="L1056" s="619">
        <v>86</v>
      </c>
      <c r="M1056" s="620">
        <v>81</v>
      </c>
      <c r="N1056" s="619"/>
      <c r="O1056" s="619">
        <v>13</v>
      </c>
      <c r="P1056" s="619" t="s">
        <v>760</v>
      </c>
      <c r="Q1056" s="662" t="s">
        <v>1002</v>
      </c>
      <c r="R1056" s="618"/>
      <c r="S1056" s="621" t="s">
        <v>1891</v>
      </c>
      <c r="T1056" s="619" t="s">
        <v>1898</v>
      </c>
    </row>
    <row r="1057" spans="1:20">
      <c r="A1057" s="630">
        <v>1402120</v>
      </c>
      <c r="B1057" s="628"/>
      <c r="C1057" s="623"/>
      <c r="D1057" s="623"/>
      <c r="E1057" s="627" t="s">
        <v>1857</v>
      </c>
      <c r="F1057" s="631" t="s">
        <v>1899</v>
      </c>
      <c r="G1057" s="661">
        <v>140</v>
      </c>
      <c r="H1057" s="633">
        <v>2120</v>
      </c>
      <c r="I1057" s="618"/>
      <c r="J1057" s="619" t="s">
        <v>1857</v>
      </c>
      <c r="K1057" s="618"/>
      <c r="L1057" s="619">
        <v>86</v>
      </c>
      <c r="M1057" s="620">
        <v>81</v>
      </c>
      <c r="N1057" s="619"/>
      <c r="O1057" s="619">
        <v>13</v>
      </c>
      <c r="P1057" s="619" t="s">
        <v>760</v>
      </c>
      <c r="Q1057" s="662" t="s">
        <v>1002</v>
      </c>
      <c r="R1057" s="618"/>
      <c r="S1057" s="621" t="s">
        <v>1891</v>
      </c>
      <c r="T1057" s="619" t="s">
        <v>1017</v>
      </c>
    </row>
    <row r="1058" spans="1:20">
      <c r="A1058" s="630">
        <v>3002120</v>
      </c>
      <c r="B1058" s="670"/>
      <c r="C1058" s="632"/>
      <c r="D1058" s="632" t="s">
        <v>775</v>
      </c>
      <c r="E1058" s="637" t="s">
        <v>1112</v>
      </c>
      <c r="F1058" s="631" t="s">
        <v>1900</v>
      </c>
      <c r="G1058" s="661">
        <v>300</v>
      </c>
      <c r="H1058" s="633">
        <v>2120</v>
      </c>
      <c r="I1058" s="618"/>
      <c r="J1058" s="619" t="s">
        <v>1112</v>
      </c>
      <c r="K1058" s="618"/>
      <c r="L1058" s="619">
        <v>101</v>
      </c>
      <c r="M1058" s="620">
        <v>96</v>
      </c>
      <c r="N1058" s="619"/>
      <c r="O1058" s="619">
        <v>13</v>
      </c>
      <c r="P1058" s="619" t="s">
        <v>760</v>
      </c>
      <c r="Q1058" s="662"/>
      <c r="R1058" s="618"/>
      <c r="S1058" s="621" t="s">
        <v>1891</v>
      </c>
      <c r="T1058" s="619" t="s">
        <v>1112</v>
      </c>
    </row>
    <row r="1059" spans="1:20">
      <c r="A1059" s="622"/>
      <c r="B1059" s="628"/>
      <c r="C1059" s="623"/>
      <c r="D1059" s="623" t="s">
        <v>799</v>
      </c>
      <c r="E1059" s="627" t="s">
        <v>250</v>
      </c>
      <c r="F1059" s="626"/>
      <c r="G1059" s="623"/>
      <c r="H1059" s="627"/>
      <c r="I1059" s="618"/>
      <c r="J1059" s="618"/>
      <c r="K1059" s="618"/>
      <c r="L1059" s="618"/>
      <c r="M1059" s="618"/>
      <c r="N1059" s="618"/>
      <c r="O1059" s="618"/>
      <c r="P1059" s="618"/>
      <c r="Q1059" s="662"/>
      <c r="R1059" s="618"/>
      <c r="S1059" s="621"/>
      <c r="T1059" s="618"/>
    </row>
    <row r="1060" spans="1:20">
      <c r="A1060" s="630">
        <v>4302120</v>
      </c>
      <c r="B1060" s="628"/>
      <c r="C1060" s="623"/>
      <c r="D1060" s="623"/>
      <c r="E1060" s="627" t="s">
        <v>1114</v>
      </c>
      <c r="F1060" s="631" t="s">
        <v>1901</v>
      </c>
      <c r="G1060" s="661">
        <v>430</v>
      </c>
      <c r="H1060" s="633">
        <v>2120</v>
      </c>
      <c r="I1060" s="618"/>
      <c r="J1060" s="619" t="s">
        <v>1114</v>
      </c>
      <c r="K1060" s="618"/>
      <c r="L1060" s="619">
        <v>107</v>
      </c>
      <c r="M1060" s="620">
        <v>102</v>
      </c>
      <c r="N1060" s="619"/>
      <c r="O1060" s="619">
        <v>13</v>
      </c>
      <c r="P1060" s="619" t="s">
        <v>760</v>
      </c>
      <c r="Q1060" s="662"/>
      <c r="R1060" s="618"/>
      <c r="S1060" s="621" t="s">
        <v>1891</v>
      </c>
      <c r="T1060" s="619" t="s">
        <v>1021</v>
      </c>
    </row>
    <row r="1061" spans="1:20">
      <c r="A1061" s="630">
        <v>4422120</v>
      </c>
      <c r="B1061" s="628"/>
      <c r="C1061" s="623"/>
      <c r="D1061" s="623"/>
      <c r="E1061" s="627" t="s">
        <v>1116</v>
      </c>
      <c r="F1061" s="631" t="s">
        <v>1902</v>
      </c>
      <c r="G1061" s="661">
        <v>442</v>
      </c>
      <c r="H1061" s="633">
        <v>2120</v>
      </c>
      <c r="I1061" s="618"/>
      <c r="J1061" s="619" t="s">
        <v>1116</v>
      </c>
      <c r="K1061" s="618"/>
      <c r="L1061" s="619">
        <v>106</v>
      </c>
      <c r="M1061" s="620">
        <v>101</v>
      </c>
      <c r="N1061" s="619"/>
      <c r="O1061" s="619">
        <v>13</v>
      </c>
      <c r="P1061" s="619" t="s">
        <v>760</v>
      </c>
      <c r="Q1061" s="662"/>
      <c r="R1061" s="618"/>
      <c r="S1061" s="621" t="s">
        <v>1891</v>
      </c>
      <c r="T1061" s="619" t="s">
        <v>1023</v>
      </c>
    </row>
    <row r="1062" spans="1:20">
      <c r="A1062" s="630">
        <v>4002120</v>
      </c>
      <c r="B1062" s="628"/>
      <c r="C1062" s="623"/>
      <c r="D1062" s="623"/>
      <c r="E1062" s="627" t="s">
        <v>1118</v>
      </c>
      <c r="F1062" s="631" t="s">
        <v>1903</v>
      </c>
      <c r="G1062" s="661">
        <v>400</v>
      </c>
      <c r="H1062" s="633">
        <v>2120</v>
      </c>
      <c r="I1062" s="618"/>
      <c r="J1062" s="619" t="s">
        <v>1118</v>
      </c>
      <c r="K1062" s="618"/>
      <c r="L1062" s="619">
        <v>108</v>
      </c>
      <c r="M1062" s="620">
        <v>103</v>
      </c>
      <c r="N1062" s="619"/>
      <c r="O1062" s="619">
        <v>13</v>
      </c>
      <c r="P1062" s="619" t="s">
        <v>760</v>
      </c>
      <c r="Q1062" s="662"/>
      <c r="R1062" s="618"/>
      <c r="S1062" s="621" t="s">
        <v>1891</v>
      </c>
      <c r="T1062" s="619" t="s">
        <v>1025</v>
      </c>
    </row>
    <row r="1063" spans="1:20">
      <c r="A1063" s="622"/>
      <c r="B1063" s="628"/>
      <c r="C1063" s="623"/>
      <c r="D1063" s="623" t="s">
        <v>803</v>
      </c>
      <c r="E1063" s="627" t="s">
        <v>252</v>
      </c>
      <c r="F1063" s="626"/>
      <c r="G1063" s="623"/>
      <c r="H1063" s="627"/>
      <c r="I1063" s="618"/>
      <c r="J1063" s="618"/>
      <c r="K1063" s="618"/>
      <c r="L1063" s="618"/>
      <c r="M1063" s="618"/>
      <c r="N1063" s="618"/>
      <c r="O1063" s="618"/>
      <c r="P1063" s="618"/>
      <c r="Q1063" s="662"/>
      <c r="R1063" s="618"/>
      <c r="S1063" s="621"/>
      <c r="T1063" s="618"/>
    </row>
    <row r="1064" spans="1:20">
      <c r="A1064" s="630">
        <v>5822120</v>
      </c>
      <c r="B1064" s="628"/>
      <c r="C1064" s="623"/>
      <c r="D1064" s="623"/>
      <c r="E1064" s="627" t="s">
        <v>1863</v>
      </c>
      <c r="F1064" s="631" t="s">
        <v>1904</v>
      </c>
      <c r="G1064" s="661">
        <v>582</v>
      </c>
      <c r="H1064" s="633">
        <v>2120</v>
      </c>
      <c r="I1064" s="618"/>
      <c r="J1064" s="619" t="s">
        <v>1863</v>
      </c>
      <c r="K1064" s="618"/>
      <c r="L1064" s="619">
        <v>118</v>
      </c>
      <c r="M1064" s="620">
        <v>109</v>
      </c>
      <c r="N1064" s="619"/>
      <c r="O1064" s="619">
        <v>13</v>
      </c>
      <c r="P1064" s="619" t="s">
        <v>760</v>
      </c>
      <c r="Q1064" s="662"/>
      <c r="R1064" s="618"/>
      <c r="S1064" s="621" t="s">
        <v>1891</v>
      </c>
      <c r="T1064" s="619" t="s">
        <v>1037</v>
      </c>
    </row>
    <row r="1065" spans="1:20">
      <c r="A1065" s="630">
        <v>5002120</v>
      </c>
      <c r="B1065" s="628"/>
      <c r="C1065" s="623"/>
      <c r="D1065" s="623"/>
      <c r="E1065" s="627" t="s">
        <v>1865</v>
      </c>
      <c r="F1065" s="631" t="s">
        <v>1905</v>
      </c>
      <c r="G1065" s="661">
        <v>500</v>
      </c>
      <c r="H1065" s="633">
        <v>2120</v>
      </c>
      <c r="I1065" s="618"/>
      <c r="J1065" s="619" t="s">
        <v>1865</v>
      </c>
      <c r="K1065" s="618"/>
      <c r="L1065" s="619">
        <v>119</v>
      </c>
      <c r="M1065" s="620">
        <v>110</v>
      </c>
      <c r="N1065" s="619"/>
      <c r="O1065" s="619">
        <v>13</v>
      </c>
      <c r="P1065" s="619" t="s">
        <v>760</v>
      </c>
      <c r="Q1065" s="662"/>
      <c r="R1065" s="618"/>
      <c r="S1065" s="621" t="s">
        <v>1891</v>
      </c>
      <c r="T1065" s="619" t="s">
        <v>252</v>
      </c>
    </row>
    <row r="1066" spans="1:20">
      <c r="A1066" s="622"/>
      <c r="B1066" s="628"/>
      <c r="C1066" s="623"/>
      <c r="D1066" s="623" t="s">
        <v>848</v>
      </c>
      <c r="E1066" s="627" t="s">
        <v>254</v>
      </c>
      <c r="F1066" s="626"/>
      <c r="G1066" s="623"/>
      <c r="H1066" s="627"/>
      <c r="I1066" s="618"/>
      <c r="J1066" s="618"/>
      <c r="K1066" s="618"/>
      <c r="L1066" s="618"/>
      <c r="M1066" s="618"/>
      <c r="N1066" s="618"/>
      <c r="O1066" s="618"/>
      <c r="P1066" s="618"/>
      <c r="Q1066" s="662"/>
      <c r="R1066" s="618"/>
      <c r="S1066" s="621"/>
      <c r="T1066" s="618"/>
    </row>
    <row r="1067" spans="1:20">
      <c r="A1067" s="630">
        <v>6152120</v>
      </c>
      <c r="B1067" s="628"/>
      <c r="C1067" s="623"/>
      <c r="D1067" s="623"/>
      <c r="E1067" s="627" t="s">
        <v>1138</v>
      </c>
      <c r="F1067" s="631" t="s">
        <v>1906</v>
      </c>
      <c r="G1067" s="661">
        <v>615</v>
      </c>
      <c r="H1067" s="633">
        <v>2120</v>
      </c>
      <c r="I1067" s="618"/>
      <c r="J1067" s="619" t="s">
        <v>1138</v>
      </c>
      <c r="K1067" s="618"/>
      <c r="L1067" s="619">
        <v>126</v>
      </c>
      <c r="M1067" s="620">
        <v>117</v>
      </c>
      <c r="N1067" s="619"/>
      <c r="O1067" s="619">
        <v>13</v>
      </c>
      <c r="P1067" s="619" t="s">
        <v>760</v>
      </c>
      <c r="Q1067" s="662" t="s">
        <v>1043</v>
      </c>
      <c r="R1067" s="618"/>
      <c r="S1067" s="621" t="s">
        <v>1891</v>
      </c>
      <c r="T1067" s="619" t="s">
        <v>1041</v>
      </c>
    </row>
    <row r="1068" spans="1:20">
      <c r="A1068" s="630">
        <v>6102120</v>
      </c>
      <c r="B1068" s="628"/>
      <c r="C1068" s="623"/>
      <c r="D1068" s="623"/>
      <c r="E1068" s="627" t="s">
        <v>1140</v>
      </c>
      <c r="F1068" s="631" t="s">
        <v>1907</v>
      </c>
      <c r="G1068" s="661">
        <v>610</v>
      </c>
      <c r="H1068" s="633">
        <v>2120</v>
      </c>
      <c r="I1068" s="618"/>
      <c r="J1068" s="619" t="s">
        <v>1140</v>
      </c>
      <c r="K1068" s="618"/>
      <c r="L1068" s="619">
        <v>122</v>
      </c>
      <c r="M1068" s="620">
        <v>113</v>
      </c>
      <c r="N1068" s="619"/>
      <c r="O1068" s="619">
        <v>13</v>
      </c>
      <c r="P1068" s="619" t="s">
        <v>760</v>
      </c>
      <c r="Q1068" s="662" t="s">
        <v>1043</v>
      </c>
      <c r="R1068" s="618"/>
      <c r="S1068" s="621" t="s">
        <v>1891</v>
      </c>
      <c r="T1068" s="619" t="s">
        <v>39</v>
      </c>
    </row>
    <row r="1069" spans="1:20">
      <c r="A1069" s="630">
        <v>6002120</v>
      </c>
      <c r="B1069" s="628"/>
      <c r="C1069" s="623"/>
      <c r="D1069" s="623"/>
      <c r="E1069" s="627" t="s">
        <v>1869</v>
      </c>
      <c r="F1069" s="631" t="s">
        <v>1908</v>
      </c>
      <c r="G1069" s="661">
        <v>600</v>
      </c>
      <c r="H1069" s="633">
        <v>2120</v>
      </c>
      <c r="I1069" s="618"/>
      <c r="J1069" s="619" t="s">
        <v>1869</v>
      </c>
      <c r="K1069" s="618"/>
      <c r="L1069" s="619">
        <v>126</v>
      </c>
      <c r="M1069" s="620">
        <v>117</v>
      </c>
      <c r="N1069" s="619"/>
      <c r="O1069" s="619">
        <v>13</v>
      </c>
      <c r="P1069" s="619" t="s">
        <v>760</v>
      </c>
      <c r="Q1069" s="662"/>
      <c r="R1069" s="618"/>
      <c r="S1069" s="621" t="s">
        <v>1891</v>
      </c>
      <c r="T1069" s="619" t="s">
        <v>1048</v>
      </c>
    </row>
    <row r="1070" spans="1:20">
      <c r="A1070" s="622"/>
      <c r="B1070" s="628"/>
      <c r="C1070" s="623"/>
      <c r="D1070" s="623" t="s">
        <v>851</v>
      </c>
      <c r="E1070" s="627" t="s">
        <v>1050</v>
      </c>
      <c r="F1070" s="626"/>
      <c r="G1070" s="623"/>
      <c r="H1070" s="627"/>
      <c r="I1070" s="618"/>
      <c r="J1070" s="618"/>
      <c r="K1070" s="618"/>
      <c r="L1070" s="618"/>
      <c r="M1070" s="618"/>
      <c r="N1070" s="618"/>
      <c r="O1070" s="618"/>
      <c r="P1070" s="618"/>
      <c r="Q1070" s="662"/>
      <c r="R1070" s="618"/>
      <c r="S1070" s="621"/>
      <c r="T1070" s="618"/>
    </row>
    <row r="1071" spans="1:20">
      <c r="A1071" s="630">
        <v>7342120</v>
      </c>
      <c r="B1071" s="628"/>
      <c r="C1071" s="623"/>
      <c r="D1071" s="623"/>
      <c r="E1071" s="627" t="s">
        <v>1146</v>
      </c>
      <c r="F1071" s="631" t="s">
        <v>1909</v>
      </c>
      <c r="G1071" s="661">
        <v>734</v>
      </c>
      <c r="H1071" s="633">
        <v>2120</v>
      </c>
      <c r="I1071" s="618"/>
      <c r="J1071" s="619" t="s">
        <v>1146</v>
      </c>
      <c r="K1071" s="618"/>
      <c r="L1071" s="619">
        <v>131</v>
      </c>
      <c r="M1071" s="620">
        <v>122</v>
      </c>
      <c r="N1071" s="619"/>
      <c r="O1071" s="619">
        <v>13</v>
      </c>
      <c r="P1071" s="619" t="s">
        <v>760</v>
      </c>
      <c r="Q1071" s="662"/>
      <c r="R1071" s="618"/>
      <c r="S1071" s="621" t="s">
        <v>1891</v>
      </c>
      <c r="T1071" s="619" t="s">
        <v>1051</v>
      </c>
    </row>
    <row r="1072" spans="1:20">
      <c r="A1072" s="630">
        <v>7352120</v>
      </c>
      <c r="B1072" s="628"/>
      <c r="C1072" s="623"/>
      <c r="D1072" s="623"/>
      <c r="E1072" s="627" t="s">
        <v>1148</v>
      </c>
      <c r="F1072" s="631" t="s">
        <v>1910</v>
      </c>
      <c r="G1072" s="661">
        <v>735</v>
      </c>
      <c r="H1072" s="633">
        <v>2120</v>
      </c>
      <c r="I1072" s="618"/>
      <c r="J1072" s="619" t="s">
        <v>1148</v>
      </c>
      <c r="K1072" s="618"/>
      <c r="L1072" s="619">
        <v>131</v>
      </c>
      <c r="M1072" s="620">
        <v>122</v>
      </c>
      <c r="N1072" s="619"/>
      <c r="O1072" s="619">
        <v>13</v>
      </c>
      <c r="P1072" s="619" t="s">
        <v>760</v>
      </c>
      <c r="Q1072" s="662"/>
      <c r="R1072" s="618"/>
      <c r="S1072" s="621" t="s">
        <v>1891</v>
      </c>
      <c r="T1072" s="619" t="s">
        <v>1053</v>
      </c>
    </row>
    <row r="1073" spans="1:20">
      <c r="A1073" s="630">
        <v>7302120</v>
      </c>
      <c r="B1073" s="628"/>
      <c r="C1073" s="623"/>
      <c r="D1073" s="623"/>
      <c r="E1073" s="627" t="s">
        <v>1150</v>
      </c>
      <c r="F1073" s="631" t="s">
        <v>1911</v>
      </c>
      <c r="G1073" s="661">
        <v>730</v>
      </c>
      <c r="H1073" s="633">
        <v>2120</v>
      </c>
      <c r="I1073" s="618"/>
      <c r="J1073" s="619" t="s">
        <v>1150</v>
      </c>
      <c r="K1073" s="618"/>
      <c r="L1073" s="619">
        <v>131</v>
      </c>
      <c r="M1073" s="620">
        <v>122</v>
      </c>
      <c r="N1073" s="619"/>
      <c r="O1073" s="619">
        <v>13</v>
      </c>
      <c r="P1073" s="619" t="s">
        <v>760</v>
      </c>
      <c r="Q1073" s="662"/>
      <c r="R1073" s="618"/>
      <c r="S1073" s="621" t="s">
        <v>1891</v>
      </c>
      <c r="T1073" s="619" t="s">
        <v>1055</v>
      </c>
    </row>
    <row r="1074" spans="1:20">
      <c r="A1074" s="630">
        <v>7002120</v>
      </c>
      <c r="B1074" s="628"/>
      <c r="C1074" s="623"/>
      <c r="D1074" s="623"/>
      <c r="E1074" s="627" t="s">
        <v>1152</v>
      </c>
      <c r="F1074" s="631" t="s">
        <v>1912</v>
      </c>
      <c r="G1074" s="661">
        <v>700</v>
      </c>
      <c r="H1074" s="633">
        <v>2120</v>
      </c>
      <c r="I1074" s="618"/>
      <c r="J1074" s="619" t="s">
        <v>1152</v>
      </c>
      <c r="K1074" s="618"/>
      <c r="L1074" s="619">
        <v>132</v>
      </c>
      <c r="M1074" s="620">
        <v>123</v>
      </c>
      <c r="N1074" s="619"/>
      <c r="O1074" s="619">
        <v>13</v>
      </c>
      <c r="P1074" s="619" t="s">
        <v>760</v>
      </c>
      <c r="Q1074" s="662"/>
      <c r="R1074" s="618"/>
      <c r="S1074" s="621" t="s">
        <v>1891</v>
      </c>
      <c r="T1074" s="619" t="s">
        <v>1057</v>
      </c>
    </row>
    <row r="1075" spans="1:20">
      <c r="A1075" s="622"/>
      <c r="B1075" s="628"/>
      <c r="C1075" s="623"/>
      <c r="D1075" s="623" t="s">
        <v>854</v>
      </c>
      <c r="E1075" s="627" t="s">
        <v>256</v>
      </c>
      <c r="F1075" s="626"/>
      <c r="G1075" s="623"/>
      <c r="H1075" s="627"/>
      <c r="I1075" s="618"/>
      <c r="J1075" s="618"/>
      <c r="K1075" s="618"/>
      <c r="L1075" s="618"/>
      <c r="M1075" s="618"/>
      <c r="N1075" s="618"/>
      <c r="O1075" s="618"/>
      <c r="P1075" s="618"/>
      <c r="Q1075" s="662"/>
      <c r="R1075" s="618"/>
      <c r="S1075" s="621"/>
      <c r="T1075" s="618"/>
    </row>
    <row r="1076" spans="1:20">
      <c r="A1076" s="630">
        <v>8952120</v>
      </c>
      <c r="B1076" s="628"/>
      <c r="C1076" s="623"/>
      <c r="D1076" s="623"/>
      <c r="E1076" s="627" t="s">
        <v>1154</v>
      </c>
      <c r="F1076" s="631" t="s">
        <v>1913</v>
      </c>
      <c r="G1076" s="661">
        <v>895</v>
      </c>
      <c r="H1076" s="633">
        <v>2120</v>
      </c>
      <c r="I1076" s="618"/>
      <c r="J1076" s="619" t="s">
        <v>1154</v>
      </c>
      <c r="K1076" s="618"/>
      <c r="L1076" s="619">
        <v>139</v>
      </c>
      <c r="M1076" s="620">
        <v>129</v>
      </c>
      <c r="N1076" s="619"/>
      <c r="O1076" s="619">
        <v>13</v>
      </c>
      <c r="P1076" s="619" t="s">
        <v>760</v>
      </c>
      <c r="Q1076" s="662"/>
      <c r="R1076" s="618"/>
      <c r="S1076" s="621" t="s">
        <v>1891</v>
      </c>
      <c r="T1076" s="619" t="s">
        <v>1059</v>
      </c>
    </row>
    <row r="1077" spans="1:20">
      <c r="A1077" s="630">
        <v>8002120</v>
      </c>
      <c r="B1077" s="628"/>
      <c r="C1077" s="623"/>
      <c r="D1077" s="623"/>
      <c r="E1077" s="627" t="s">
        <v>1156</v>
      </c>
      <c r="F1077" s="631" t="s">
        <v>1914</v>
      </c>
      <c r="G1077" s="661">
        <v>800</v>
      </c>
      <c r="H1077" s="633">
        <v>2120</v>
      </c>
      <c r="I1077" s="618"/>
      <c r="J1077" s="619" t="s">
        <v>1156</v>
      </c>
      <c r="K1077" s="618"/>
      <c r="L1077" s="619">
        <v>139</v>
      </c>
      <c r="M1077" s="620">
        <v>129</v>
      </c>
      <c r="N1077" s="619"/>
      <c r="O1077" s="619">
        <v>13</v>
      </c>
      <c r="P1077" s="619" t="s">
        <v>760</v>
      </c>
      <c r="Q1077" s="662"/>
      <c r="R1077" s="618"/>
      <c r="S1077" s="621" t="s">
        <v>1891</v>
      </c>
      <c r="T1077" s="619" t="s">
        <v>1061</v>
      </c>
    </row>
    <row r="1078" spans="1:20">
      <c r="A1078" s="622"/>
      <c r="B1078" s="628"/>
      <c r="C1078" s="623"/>
      <c r="D1078" s="623" t="s">
        <v>857</v>
      </c>
      <c r="E1078" s="627" t="s">
        <v>1063</v>
      </c>
      <c r="F1078" s="626"/>
      <c r="G1078" s="623"/>
      <c r="H1078" s="627"/>
      <c r="I1078" s="618"/>
      <c r="J1078" s="618"/>
      <c r="K1078" s="618"/>
      <c r="L1078" s="618"/>
      <c r="M1078" s="618"/>
      <c r="N1078" s="618"/>
      <c r="O1078" s="618"/>
      <c r="P1078" s="618"/>
      <c r="Q1078" s="662"/>
      <c r="R1078" s="618"/>
      <c r="S1078" s="621"/>
      <c r="T1078" s="618"/>
    </row>
    <row r="1079" spans="1:20">
      <c r="A1079" s="630">
        <v>2102120</v>
      </c>
      <c r="B1079" s="628"/>
      <c r="C1079" s="623"/>
      <c r="D1079" s="623"/>
      <c r="E1079" s="627" t="s">
        <v>1158</v>
      </c>
      <c r="F1079" s="631" t="s">
        <v>1915</v>
      </c>
      <c r="G1079" s="661">
        <v>210</v>
      </c>
      <c r="H1079" s="633">
        <v>2120</v>
      </c>
      <c r="I1079" s="618"/>
      <c r="J1079" s="619" t="s">
        <v>1158</v>
      </c>
      <c r="K1079" s="618"/>
      <c r="L1079" s="619">
        <v>89</v>
      </c>
      <c r="M1079" s="620">
        <v>84</v>
      </c>
      <c r="N1079" s="619"/>
      <c r="O1079" s="619">
        <v>13</v>
      </c>
      <c r="P1079" s="619" t="s">
        <v>760</v>
      </c>
      <c r="Q1079" s="662" t="s">
        <v>1002</v>
      </c>
      <c r="R1079" s="618"/>
      <c r="S1079" s="621" t="s">
        <v>1891</v>
      </c>
      <c r="T1079" s="619" t="s">
        <v>1064</v>
      </c>
    </row>
    <row r="1080" spans="1:20">
      <c r="A1080" s="630">
        <v>2202120</v>
      </c>
      <c r="B1080" s="628"/>
      <c r="C1080" s="623"/>
      <c r="D1080" s="623"/>
      <c r="E1080" s="627" t="s">
        <v>1160</v>
      </c>
      <c r="F1080" s="631" t="s">
        <v>1916</v>
      </c>
      <c r="G1080" s="661">
        <v>220</v>
      </c>
      <c r="H1080" s="633">
        <v>2120</v>
      </c>
      <c r="I1080" s="618"/>
      <c r="J1080" s="619" t="s">
        <v>1160</v>
      </c>
      <c r="K1080" s="618"/>
      <c r="L1080" s="619">
        <v>90</v>
      </c>
      <c r="M1080" s="620">
        <v>85</v>
      </c>
      <c r="N1080" s="619"/>
      <c r="O1080" s="619">
        <v>13</v>
      </c>
      <c r="P1080" s="619" t="s">
        <v>760</v>
      </c>
      <c r="Q1080" s="662" t="s">
        <v>1002</v>
      </c>
      <c r="R1080" s="618"/>
      <c r="S1080" s="621" t="s">
        <v>1891</v>
      </c>
      <c r="T1080" s="619" t="s">
        <v>1066</v>
      </c>
    </row>
    <row r="1081" spans="1:20">
      <c r="A1081" s="630">
        <v>2252120</v>
      </c>
      <c r="B1081" s="628"/>
      <c r="C1081" s="623"/>
      <c r="D1081" s="623"/>
      <c r="E1081" s="627" t="s">
        <v>1162</v>
      </c>
      <c r="F1081" s="631" t="s">
        <v>1917</v>
      </c>
      <c r="G1081" s="661">
        <v>225</v>
      </c>
      <c r="H1081" s="633">
        <v>2120</v>
      </c>
      <c r="I1081" s="618"/>
      <c r="J1081" s="619" t="s">
        <v>1162</v>
      </c>
      <c r="K1081" s="618"/>
      <c r="L1081" s="619">
        <v>91</v>
      </c>
      <c r="M1081" s="620">
        <v>86</v>
      </c>
      <c r="N1081" s="619"/>
      <c r="O1081" s="619">
        <v>13</v>
      </c>
      <c r="P1081" s="619" t="s">
        <v>760</v>
      </c>
      <c r="Q1081" s="662" t="s">
        <v>1002</v>
      </c>
      <c r="R1081" s="618"/>
      <c r="S1081" s="621" t="s">
        <v>1891</v>
      </c>
      <c r="T1081" s="619" t="s">
        <v>23</v>
      </c>
    </row>
    <row r="1082" spans="1:20">
      <c r="A1082" s="622"/>
      <c r="B1082" s="628"/>
      <c r="C1082" s="623"/>
      <c r="D1082" s="623"/>
      <c r="E1082" s="627" t="s">
        <v>1164</v>
      </c>
      <c r="F1082" s="626"/>
      <c r="G1082" s="623"/>
      <c r="H1082" s="627"/>
      <c r="I1082" s="618"/>
      <c r="J1082" s="618"/>
      <c r="K1082" s="618"/>
      <c r="L1082" s="618"/>
      <c r="M1082" s="618"/>
      <c r="N1082" s="618"/>
      <c r="O1082" s="618"/>
      <c r="P1082" s="618"/>
      <c r="Q1082" s="662"/>
      <c r="R1082" s="618"/>
      <c r="S1082" s="621"/>
      <c r="T1082" s="618"/>
    </row>
    <row r="1083" spans="1:20">
      <c r="A1083" s="630">
        <v>2312120</v>
      </c>
      <c r="B1083" s="628"/>
      <c r="C1083" s="623"/>
      <c r="D1083" s="623"/>
      <c r="E1083" s="627" t="s">
        <v>1165</v>
      </c>
      <c r="F1083" s="631" t="s">
        <v>1918</v>
      </c>
      <c r="G1083" s="661">
        <v>231</v>
      </c>
      <c r="H1083" s="633">
        <v>2120</v>
      </c>
      <c r="I1083" s="618"/>
      <c r="J1083" s="619" t="s">
        <v>1165</v>
      </c>
      <c r="K1083" s="618"/>
      <c r="L1083" s="619">
        <v>92</v>
      </c>
      <c r="M1083" s="620">
        <v>87</v>
      </c>
      <c r="N1083" s="619"/>
      <c r="O1083" s="619">
        <v>13</v>
      </c>
      <c r="P1083" s="619" t="s">
        <v>760</v>
      </c>
      <c r="Q1083" s="662" t="s">
        <v>1002</v>
      </c>
      <c r="R1083" s="618"/>
      <c r="S1083" s="621" t="s">
        <v>1891</v>
      </c>
      <c r="T1083" s="619" t="s">
        <v>1072</v>
      </c>
    </row>
    <row r="1084" spans="1:20">
      <c r="A1084" s="630">
        <v>2332120</v>
      </c>
      <c r="B1084" s="628"/>
      <c r="C1084" s="623"/>
      <c r="D1084" s="623"/>
      <c r="E1084" s="627" t="s">
        <v>1167</v>
      </c>
      <c r="F1084" s="631" t="s">
        <v>1919</v>
      </c>
      <c r="G1084" s="661">
        <v>233</v>
      </c>
      <c r="H1084" s="633">
        <v>2120</v>
      </c>
      <c r="I1084" s="618"/>
      <c r="J1084" s="619" t="s">
        <v>1167</v>
      </c>
      <c r="K1084" s="618"/>
      <c r="L1084" s="619">
        <v>92</v>
      </c>
      <c r="M1084" s="620">
        <v>87</v>
      </c>
      <c r="N1084" s="619"/>
      <c r="O1084" s="619">
        <v>13</v>
      </c>
      <c r="P1084" s="619" t="s">
        <v>760</v>
      </c>
      <c r="Q1084" s="662" t="s">
        <v>1002</v>
      </c>
      <c r="R1084" s="618"/>
      <c r="S1084" s="621" t="s">
        <v>1891</v>
      </c>
      <c r="T1084" s="619" t="s">
        <v>1169</v>
      </c>
    </row>
    <row r="1085" spans="1:20">
      <c r="A1085" s="630">
        <v>2392120</v>
      </c>
      <c r="B1085" s="628"/>
      <c r="C1085" s="623"/>
      <c r="D1085" s="623"/>
      <c r="E1085" s="627" t="s">
        <v>1170</v>
      </c>
      <c r="F1085" s="631" t="s">
        <v>1920</v>
      </c>
      <c r="G1085" s="661">
        <v>239</v>
      </c>
      <c r="H1085" s="633">
        <v>2120</v>
      </c>
      <c r="I1085" s="618"/>
      <c r="J1085" s="619" t="s">
        <v>1170</v>
      </c>
      <c r="K1085" s="618"/>
      <c r="L1085" s="619">
        <v>92</v>
      </c>
      <c r="M1085" s="620">
        <v>87</v>
      </c>
      <c r="N1085" s="619"/>
      <c r="O1085" s="619">
        <v>13</v>
      </c>
      <c r="P1085" s="619" t="s">
        <v>760</v>
      </c>
      <c r="Q1085" s="662" t="s">
        <v>1002</v>
      </c>
      <c r="R1085" s="618"/>
      <c r="S1085" s="621" t="s">
        <v>1891</v>
      </c>
      <c r="T1085" s="619" t="s">
        <v>1078</v>
      </c>
    </row>
    <row r="1086" spans="1:20">
      <c r="A1086" s="630">
        <v>2502120</v>
      </c>
      <c r="B1086" s="628"/>
      <c r="C1086" s="623"/>
      <c r="D1086" s="623"/>
      <c r="E1086" s="627" t="s">
        <v>1172</v>
      </c>
      <c r="F1086" s="631" t="s">
        <v>1921</v>
      </c>
      <c r="G1086" s="661">
        <v>250</v>
      </c>
      <c r="H1086" s="633">
        <v>2120</v>
      </c>
      <c r="I1086" s="618"/>
      <c r="J1086" s="619" t="s">
        <v>1172</v>
      </c>
      <c r="K1086" s="618"/>
      <c r="L1086" s="619">
        <v>93</v>
      </c>
      <c r="M1086" s="620">
        <v>88</v>
      </c>
      <c r="N1086" s="619"/>
      <c r="O1086" s="619">
        <v>13</v>
      </c>
      <c r="P1086" s="619" t="s">
        <v>760</v>
      </c>
      <c r="Q1086" s="662" t="s">
        <v>1002</v>
      </c>
      <c r="R1086" s="618"/>
      <c r="S1086" s="621" t="s">
        <v>1891</v>
      </c>
      <c r="T1086" s="619" t="s">
        <v>1079</v>
      </c>
    </row>
    <row r="1087" spans="1:20">
      <c r="A1087" s="630">
        <v>2602120</v>
      </c>
      <c r="B1087" s="628"/>
      <c r="C1087" s="623"/>
      <c r="D1087" s="623"/>
      <c r="E1087" s="627" t="s">
        <v>1174</v>
      </c>
      <c r="F1087" s="631" t="s">
        <v>1922</v>
      </c>
      <c r="G1087" s="661">
        <v>260</v>
      </c>
      <c r="H1087" s="633">
        <v>2120</v>
      </c>
      <c r="I1087" s="618"/>
      <c r="J1087" s="619" t="s">
        <v>1174</v>
      </c>
      <c r="K1087" s="618"/>
      <c r="L1087" s="619">
        <v>95</v>
      </c>
      <c r="M1087" s="620">
        <v>90</v>
      </c>
      <c r="N1087" s="619"/>
      <c r="O1087" s="619">
        <v>13</v>
      </c>
      <c r="P1087" s="619" t="s">
        <v>760</v>
      </c>
      <c r="Q1087" s="662" t="s">
        <v>1002</v>
      </c>
      <c r="R1087" s="618"/>
      <c r="S1087" s="621" t="s">
        <v>1891</v>
      </c>
      <c r="T1087" s="619" t="s">
        <v>1081</v>
      </c>
    </row>
    <row r="1088" spans="1:20">
      <c r="A1088" s="630">
        <v>2702120</v>
      </c>
      <c r="B1088" s="628"/>
      <c r="C1088" s="623"/>
      <c r="D1088" s="623"/>
      <c r="E1088" s="627" t="s">
        <v>1176</v>
      </c>
      <c r="F1088" s="631" t="s">
        <v>1923</v>
      </c>
      <c r="G1088" s="661">
        <v>270</v>
      </c>
      <c r="H1088" s="633">
        <v>2120</v>
      </c>
      <c r="I1088" s="618"/>
      <c r="J1088" s="619" t="s">
        <v>1176</v>
      </c>
      <c r="K1088" s="618"/>
      <c r="L1088" s="619">
        <v>94</v>
      </c>
      <c r="M1088" s="620">
        <v>89</v>
      </c>
      <c r="N1088" s="619"/>
      <c r="O1088" s="619">
        <v>13</v>
      </c>
      <c r="P1088" s="619" t="s">
        <v>760</v>
      </c>
      <c r="Q1088" s="662" t="s">
        <v>1002</v>
      </c>
      <c r="R1088" s="618"/>
      <c r="S1088" s="621" t="s">
        <v>1891</v>
      </c>
      <c r="T1088" s="619" t="s">
        <v>1083</v>
      </c>
    </row>
    <row r="1089" spans="1:20">
      <c r="A1089" s="630">
        <v>2812120</v>
      </c>
      <c r="B1089" s="628"/>
      <c r="C1089" s="623"/>
      <c r="D1089" s="623"/>
      <c r="E1089" s="627" t="s">
        <v>1178</v>
      </c>
      <c r="F1089" s="631" t="s">
        <v>1924</v>
      </c>
      <c r="G1089" s="661">
        <v>281</v>
      </c>
      <c r="H1089" s="633">
        <v>2120</v>
      </c>
      <c r="I1089" s="618"/>
      <c r="J1089" s="619" t="s">
        <v>1178</v>
      </c>
      <c r="K1089" s="618"/>
      <c r="L1089" s="619">
        <v>95</v>
      </c>
      <c r="M1089" s="620">
        <v>90</v>
      </c>
      <c r="N1089" s="619"/>
      <c r="O1089" s="619">
        <v>13</v>
      </c>
      <c r="P1089" s="619" t="s">
        <v>760</v>
      </c>
      <c r="Q1089" s="662" t="s">
        <v>1002</v>
      </c>
      <c r="R1089" s="618"/>
      <c r="S1089" s="621" t="s">
        <v>1891</v>
      </c>
      <c r="T1089" s="619" t="s">
        <v>1085</v>
      </c>
    </row>
    <row r="1090" spans="1:20">
      <c r="A1090" s="630">
        <v>2822120</v>
      </c>
      <c r="B1090" s="628"/>
      <c r="C1090" s="623"/>
      <c r="D1090" s="623"/>
      <c r="E1090" s="627" t="s">
        <v>1180</v>
      </c>
      <c r="F1090" s="631" t="s">
        <v>1925</v>
      </c>
      <c r="G1090" s="661">
        <v>282</v>
      </c>
      <c r="H1090" s="633">
        <v>2120</v>
      </c>
      <c r="I1090" s="618"/>
      <c r="J1090" s="619" t="s">
        <v>1180</v>
      </c>
      <c r="K1090" s="618"/>
      <c r="L1090" s="619">
        <v>95</v>
      </c>
      <c r="M1090" s="620">
        <v>90</v>
      </c>
      <c r="N1090" s="619"/>
      <c r="O1090" s="619">
        <v>13</v>
      </c>
      <c r="P1090" s="619" t="s">
        <v>760</v>
      </c>
      <c r="Q1090" s="662" t="s">
        <v>1002</v>
      </c>
      <c r="R1090" s="618"/>
      <c r="S1090" s="621" t="s">
        <v>1891</v>
      </c>
      <c r="T1090" s="619" t="s">
        <v>1087</v>
      </c>
    </row>
    <row r="1091" spans="1:20">
      <c r="A1091" s="630">
        <v>2902120</v>
      </c>
      <c r="B1091" s="628"/>
      <c r="C1091" s="623"/>
      <c r="D1091" s="623"/>
      <c r="E1091" s="627" t="s">
        <v>1182</v>
      </c>
      <c r="F1091" s="631" t="s">
        <v>1926</v>
      </c>
      <c r="G1091" s="661">
        <v>290</v>
      </c>
      <c r="H1091" s="633">
        <v>2120</v>
      </c>
      <c r="I1091" s="618"/>
      <c r="J1091" s="619" t="s">
        <v>1182</v>
      </c>
      <c r="K1091" s="618"/>
      <c r="L1091" s="619">
        <v>95</v>
      </c>
      <c r="M1091" s="620">
        <v>90</v>
      </c>
      <c r="N1091" s="619"/>
      <c r="O1091" s="619">
        <v>13</v>
      </c>
      <c r="P1091" s="619" t="s">
        <v>760</v>
      </c>
      <c r="Q1091" s="662" t="s">
        <v>1002</v>
      </c>
      <c r="R1091" s="618"/>
      <c r="S1091" s="621" t="s">
        <v>1891</v>
      </c>
      <c r="T1091" s="619" t="s">
        <v>1090</v>
      </c>
    </row>
    <row r="1092" spans="1:20">
      <c r="A1092" s="622"/>
      <c r="B1092" s="628"/>
      <c r="C1092" s="629">
        <v>49</v>
      </c>
      <c r="D1092" s="784" t="s">
        <v>1927</v>
      </c>
      <c r="E1092" s="775"/>
      <c r="F1092" s="626"/>
      <c r="G1092" s="623"/>
      <c r="H1092" s="627"/>
      <c r="I1092" s="618"/>
      <c r="J1092" s="618"/>
      <c r="K1092" s="618"/>
      <c r="L1092" s="618"/>
      <c r="M1092" s="618"/>
      <c r="N1092" s="618"/>
      <c r="O1092" s="618"/>
      <c r="P1092" s="618"/>
      <c r="Q1092" s="662"/>
      <c r="R1092" s="618"/>
      <c r="S1092" s="621"/>
      <c r="T1092" s="618"/>
    </row>
    <row r="1093" spans="1:20">
      <c r="A1093" s="622"/>
      <c r="B1093" s="628"/>
      <c r="C1093" s="623"/>
      <c r="D1093" s="623" t="s">
        <v>756</v>
      </c>
      <c r="E1093" s="627" t="s">
        <v>244</v>
      </c>
      <c r="F1093" s="626"/>
      <c r="G1093" s="623"/>
      <c r="H1093" s="627"/>
      <c r="I1093" s="618"/>
      <c r="J1093" s="618"/>
      <c r="K1093" s="618"/>
      <c r="L1093" s="618"/>
      <c r="M1093" s="618"/>
      <c r="N1093" s="618"/>
      <c r="O1093" s="618"/>
      <c r="P1093" s="618"/>
      <c r="Q1093" s="662"/>
      <c r="R1093" s="618"/>
      <c r="S1093" s="621"/>
      <c r="T1093" s="618"/>
    </row>
    <row r="1094" spans="1:20">
      <c r="A1094" s="630">
        <v>1112131</v>
      </c>
      <c r="B1094" s="628"/>
      <c r="C1094" s="623"/>
      <c r="D1094" s="623"/>
      <c r="E1094" s="627" t="s">
        <v>1844</v>
      </c>
      <c r="F1094" s="631" t="s">
        <v>1928</v>
      </c>
      <c r="G1094" s="661">
        <v>111</v>
      </c>
      <c r="H1094" s="633">
        <v>2131</v>
      </c>
      <c r="I1094" s="618"/>
      <c r="J1094" s="619" t="s">
        <v>1844</v>
      </c>
      <c r="K1094" s="618"/>
      <c r="L1094" s="619">
        <v>81</v>
      </c>
      <c r="M1094" s="620">
        <v>76</v>
      </c>
      <c r="N1094" s="619"/>
      <c r="O1094" s="619">
        <v>13</v>
      </c>
      <c r="P1094" s="619" t="s">
        <v>760</v>
      </c>
      <c r="Q1094" s="662" t="s">
        <v>1545</v>
      </c>
      <c r="R1094" s="618"/>
      <c r="S1094" s="621" t="s">
        <v>1929</v>
      </c>
      <c r="T1094" s="619" t="s">
        <v>1847</v>
      </c>
    </row>
    <row r="1095" spans="1:20">
      <c r="A1095" s="630">
        <v>1182132</v>
      </c>
      <c r="B1095" s="628"/>
      <c r="C1095" s="623"/>
      <c r="D1095" s="623"/>
      <c r="E1095" s="627" t="s">
        <v>1930</v>
      </c>
      <c r="F1095" s="631" t="s">
        <v>1931</v>
      </c>
      <c r="G1095" s="661">
        <v>118</v>
      </c>
      <c r="H1095" s="633">
        <v>2132</v>
      </c>
      <c r="I1095" s="618"/>
      <c r="J1095" s="619" t="s">
        <v>1930</v>
      </c>
      <c r="K1095" s="618"/>
      <c r="L1095" s="619">
        <v>86</v>
      </c>
      <c r="M1095" s="620">
        <v>81</v>
      </c>
      <c r="N1095" s="619"/>
      <c r="O1095" s="619">
        <v>13</v>
      </c>
      <c r="P1095" s="619" t="s">
        <v>760</v>
      </c>
      <c r="Q1095" s="662" t="s">
        <v>1545</v>
      </c>
      <c r="R1095" s="618"/>
      <c r="S1095" s="621" t="s">
        <v>1929</v>
      </c>
      <c r="T1095" s="619" t="s">
        <v>1932</v>
      </c>
    </row>
    <row r="1096" spans="1:20">
      <c r="A1096" s="630">
        <v>1182134</v>
      </c>
      <c r="B1096" s="628"/>
      <c r="C1096" s="623"/>
      <c r="D1096" s="623"/>
      <c r="E1096" s="627" t="s">
        <v>1933</v>
      </c>
      <c r="F1096" s="631" t="s">
        <v>1934</v>
      </c>
      <c r="G1096" s="661">
        <v>118</v>
      </c>
      <c r="H1096" s="633">
        <v>2134</v>
      </c>
      <c r="I1096" s="618"/>
      <c r="J1096" s="619" t="s">
        <v>1933</v>
      </c>
      <c r="K1096" s="618"/>
      <c r="L1096" s="619">
        <v>86</v>
      </c>
      <c r="M1096" s="620">
        <v>81</v>
      </c>
      <c r="N1096" s="619"/>
      <c r="O1096" s="619">
        <v>13</v>
      </c>
      <c r="P1096" s="619" t="s">
        <v>760</v>
      </c>
      <c r="Q1096" s="662" t="s">
        <v>1545</v>
      </c>
      <c r="R1096" s="618"/>
      <c r="S1096" s="621" t="s">
        <v>1929</v>
      </c>
      <c r="T1096" s="619" t="s">
        <v>1935</v>
      </c>
    </row>
    <row r="1097" spans="1:20">
      <c r="A1097" s="622"/>
      <c r="B1097" s="628"/>
      <c r="C1097" s="623"/>
      <c r="D1097" s="623"/>
      <c r="E1097" s="627" t="s">
        <v>1936</v>
      </c>
      <c r="F1097" s="626"/>
      <c r="G1097" s="623"/>
      <c r="H1097" s="627"/>
      <c r="I1097" s="618"/>
      <c r="J1097" s="618"/>
      <c r="K1097" s="618"/>
      <c r="L1097" s="618"/>
      <c r="M1097" s="618"/>
      <c r="N1097" s="618"/>
      <c r="O1097" s="618"/>
      <c r="P1097" s="618"/>
      <c r="Q1097" s="662"/>
      <c r="R1097" s="618"/>
      <c r="S1097" s="621"/>
      <c r="T1097" s="618"/>
    </row>
    <row r="1098" spans="1:20">
      <c r="A1098" s="630">
        <v>1132130</v>
      </c>
      <c r="B1098" s="628"/>
      <c r="C1098" s="623"/>
      <c r="D1098" s="623"/>
      <c r="E1098" s="627" t="s">
        <v>1937</v>
      </c>
      <c r="F1098" s="631" t="s">
        <v>1938</v>
      </c>
      <c r="G1098" s="661">
        <v>113</v>
      </c>
      <c r="H1098" s="633">
        <v>2130</v>
      </c>
      <c r="I1098" s="618"/>
      <c r="J1098" s="619" t="s">
        <v>1937</v>
      </c>
      <c r="K1098" s="618"/>
      <c r="L1098" s="619">
        <v>83</v>
      </c>
      <c r="M1098" s="620">
        <v>78</v>
      </c>
      <c r="N1098" s="619"/>
      <c r="O1098" s="619">
        <v>13</v>
      </c>
      <c r="P1098" s="619" t="s">
        <v>760</v>
      </c>
      <c r="Q1098" s="662" t="s">
        <v>1545</v>
      </c>
      <c r="R1098" s="618"/>
      <c r="S1098" s="621" t="s">
        <v>1929</v>
      </c>
      <c r="T1098" s="619" t="s">
        <v>1937</v>
      </c>
    </row>
    <row r="1099" spans="1:20">
      <c r="A1099" s="630">
        <v>1142130</v>
      </c>
      <c r="B1099" s="628"/>
      <c r="C1099" s="623"/>
      <c r="D1099" s="623"/>
      <c r="E1099" s="627" t="s">
        <v>1939</v>
      </c>
      <c r="F1099" s="631" t="s">
        <v>1940</v>
      </c>
      <c r="G1099" s="661">
        <v>114</v>
      </c>
      <c r="H1099" s="633">
        <v>2130</v>
      </c>
      <c r="I1099" s="618"/>
      <c r="J1099" s="619" t="s">
        <v>1939</v>
      </c>
      <c r="K1099" s="618"/>
      <c r="L1099" s="619">
        <v>84</v>
      </c>
      <c r="M1099" s="620">
        <v>79</v>
      </c>
      <c r="N1099" s="619"/>
      <c r="O1099" s="619">
        <v>13</v>
      </c>
      <c r="P1099" s="619" t="s">
        <v>760</v>
      </c>
      <c r="Q1099" s="662" t="s">
        <v>1545</v>
      </c>
      <c r="R1099" s="618"/>
      <c r="S1099" s="621" t="s">
        <v>1929</v>
      </c>
      <c r="T1099" s="619" t="s">
        <v>1853</v>
      </c>
    </row>
    <row r="1100" spans="1:20">
      <c r="A1100" s="630">
        <v>1152130</v>
      </c>
      <c r="B1100" s="628"/>
      <c r="C1100" s="623"/>
      <c r="D1100" s="623"/>
      <c r="E1100" s="627" t="s">
        <v>1941</v>
      </c>
      <c r="F1100" s="631" t="s">
        <v>1942</v>
      </c>
      <c r="G1100" s="661">
        <v>115</v>
      </c>
      <c r="H1100" s="633">
        <v>2130</v>
      </c>
      <c r="I1100" s="618"/>
      <c r="J1100" s="619" t="s">
        <v>1941</v>
      </c>
      <c r="K1100" s="618"/>
      <c r="L1100" s="619">
        <v>86</v>
      </c>
      <c r="M1100" s="620">
        <v>81</v>
      </c>
      <c r="N1100" s="619"/>
      <c r="O1100" s="619">
        <v>13</v>
      </c>
      <c r="P1100" s="619" t="s">
        <v>760</v>
      </c>
      <c r="Q1100" s="662" t="s">
        <v>1545</v>
      </c>
      <c r="R1100" s="618"/>
      <c r="S1100" s="621" t="s">
        <v>1929</v>
      </c>
      <c r="T1100" s="619" t="s">
        <v>1943</v>
      </c>
    </row>
    <row r="1101" spans="1:20">
      <c r="A1101" s="630">
        <v>1002130</v>
      </c>
      <c r="B1101" s="628"/>
      <c r="C1101" s="623"/>
      <c r="D1101" s="623"/>
      <c r="E1101" s="627" t="s">
        <v>1944</v>
      </c>
      <c r="F1101" s="631" t="s">
        <v>1945</v>
      </c>
      <c r="G1101" s="661">
        <v>100</v>
      </c>
      <c r="H1101" s="633">
        <v>2130</v>
      </c>
      <c r="I1101" s="618"/>
      <c r="J1101" s="619" t="s">
        <v>1944</v>
      </c>
      <c r="K1101" s="618"/>
      <c r="L1101" s="619">
        <v>86</v>
      </c>
      <c r="M1101" s="620">
        <v>81</v>
      </c>
      <c r="N1101" s="619"/>
      <c r="O1101" s="619">
        <v>13</v>
      </c>
      <c r="P1101" s="619" t="s">
        <v>760</v>
      </c>
      <c r="Q1101" s="662" t="s">
        <v>1545</v>
      </c>
      <c r="R1101" s="618"/>
      <c r="S1101" s="621" t="s">
        <v>1929</v>
      </c>
      <c r="T1101" s="619" t="s">
        <v>1946</v>
      </c>
    </row>
    <row r="1102" spans="1:20">
      <c r="A1102" s="630">
        <v>1402130</v>
      </c>
      <c r="B1102" s="628"/>
      <c r="C1102" s="623"/>
      <c r="D1102" s="623"/>
      <c r="E1102" s="627" t="s">
        <v>1947</v>
      </c>
      <c r="F1102" s="631" t="s">
        <v>1948</v>
      </c>
      <c r="G1102" s="661">
        <v>140</v>
      </c>
      <c r="H1102" s="633">
        <v>2130</v>
      </c>
      <c r="I1102" s="618"/>
      <c r="J1102" s="619" t="s">
        <v>1947</v>
      </c>
      <c r="K1102" s="618"/>
      <c r="L1102" s="619">
        <v>86</v>
      </c>
      <c r="M1102" s="620">
        <v>81</v>
      </c>
      <c r="N1102" s="619"/>
      <c r="O1102" s="619">
        <v>13</v>
      </c>
      <c r="P1102" s="619" t="s">
        <v>760</v>
      </c>
      <c r="Q1102" s="662" t="s">
        <v>1545</v>
      </c>
      <c r="R1102" s="618"/>
      <c r="S1102" s="621" t="s">
        <v>1929</v>
      </c>
      <c r="T1102" s="619" t="s">
        <v>1017</v>
      </c>
    </row>
    <row r="1103" spans="1:20">
      <c r="A1103" s="630">
        <v>3002130</v>
      </c>
      <c r="B1103" s="628"/>
      <c r="C1103" s="623"/>
      <c r="D1103" s="623" t="s">
        <v>775</v>
      </c>
      <c r="E1103" s="627" t="s">
        <v>1112</v>
      </c>
      <c r="F1103" s="631" t="s">
        <v>1949</v>
      </c>
      <c r="G1103" s="661">
        <v>300</v>
      </c>
      <c r="H1103" s="633">
        <v>2130</v>
      </c>
      <c r="I1103" s="618"/>
      <c r="J1103" s="619" t="s">
        <v>1112</v>
      </c>
      <c r="K1103" s="618"/>
      <c r="L1103" s="619">
        <v>101</v>
      </c>
      <c r="M1103" s="620">
        <v>96</v>
      </c>
      <c r="N1103" s="619"/>
      <c r="O1103" s="619">
        <v>13</v>
      </c>
      <c r="P1103" s="619" t="s">
        <v>760</v>
      </c>
      <c r="Q1103" s="662" t="s">
        <v>1545</v>
      </c>
      <c r="R1103" s="618"/>
      <c r="S1103" s="621" t="s">
        <v>1929</v>
      </c>
      <c r="T1103" s="619" t="s">
        <v>1112</v>
      </c>
    </row>
    <row r="1104" spans="1:20">
      <c r="A1104" s="622"/>
      <c r="B1104" s="628"/>
      <c r="C1104" s="623"/>
      <c r="D1104" s="623" t="s">
        <v>799</v>
      </c>
      <c r="E1104" s="627" t="s">
        <v>250</v>
      </c>
      <c r="F1104" s="626"/>
      <c r="G1104" s="623"/>
      <c r="H1104" s="627"/>
      <c r="I1104" s="618"/>
      <c r="J1104" s="618"/>
      <c r="K1104" s="618"/>
      <c r="L1104" s="618"/>
      <c r="M1104" s="618"/>
      <c r="N1104" s="618"/>
      <c r="O1104" s="618"/>
      <c r="P1104" s="618"/>
      <c r="Q1104" s="662"/>
      <c r="R1104" s="618"/>
      <c r="S1104" s="621"/>
      <c r="T1104" s="618"/>
    </row>
    <row r="1105" spans="1:20">
      <c r="A1105" s="630">
        <v>4302130</v>
      </c>
      <c r="B1105" s="628"/>
      <c r="C1105" s="623"/>
      <c r="D1105" s="623"/>
      <c r="E1105" s="627" t="s">
        <v>1114</v>
      </c>
      <c r="F1105" s="631" t="s">
        <v>1950</v>
      </c>
      <c r="G1105" s="661">
        <v>430</v>
      </c>
      <c r="H1105" s="633">
        <v>2130</v>
      </c>
      <c r="I1105" s="618"/>
      <c r="J1105" s="619" t="s">
        <v>1114</v>
      </c>
      <c r="K1105" s="618"/>
      <c r="L1105" s="619">
        <v>107</v>
      </c>
      <c r="M1105" s="620">
        <v>102</v>
      </c>
      <c r="N1105" s="619"/>
      <c r="O1105" s="619">
        <v>13</v>
      </c>
      <c r="P1105" s="619" t="s">
        <v>760</v>
      </c>
      <c r="Q1105" s="662" t="s">
        <v>1545</v>
      </c>
      <c r="R1105" s="618"/>
      <c r="S1105" s="621" t="s">
        <v>1929</v>
      </c>
      <c r="T1105" s="619" t="s">
        <v>1021</v>
      </c>
    </row>
    <row r="1106" spans="1:20">
      <c r="A1106" s="630">
        <v>4422130</v>
      </c>
      <c r="B1106" s="628"/>
      <c r="C1106" s="623"/>
      <c r="D1106" s="623"/>
      <c r="E1106" s="627" t="s">
        <v>1116</v>
      </c>
      <c r="F1106" s="631" t="s">
        <v>1951</v>
      </c>
      <c r="G1106" s="661">
        <v>442</v>
      </c>
      <c r="H1106" s="633">
        <v>2130</v>
      </c>
      <c r="I1106" s="618"/>
      <c r="J1106" s="619" t="s">
        <v>1116</v>
      </c>
      <c r="K1106" s="618"/>
      <c r="L1106" s="619">
        <v>106</v>
      </c>
      <c r="M1106" s="620">
        <v>101</v>
      </c>
      <c r="N1106" s="619"/>
      <c r="O1106" s="619">
        <v>13</v>
      </c>
      <c r="P1106" s="619" t="s">
        <v>760</v>
      </c>
      <c r="Q1106" s="662" t="s">
        <v>1545</v>
      </c>
      <c r="R1106" s="618"/>
      <c r="S1106" s="621" t="s">
        <v>1929</v>
      </c>
      <c r="T1106" s="619" t="s">
        <v>1023</v>
      </c>
    </row>
    <row r="1107" spans="1:20">
      <c r="A1107" s="630">
        <v>4002130</v>
      </c>
      <c r="B1107" s="628"/>
      <c r="C1107" s="623"/>
      <c r="D1107" s="623"/>
      <c r="E1107" s="627" t="s">
        <v>1118</v>
      </c>
      <c r="F1107" s="631" t="s">
        <v>1952</v>
      </c>
      <c r="G1107" s="661">
        <v>400</v>
      </c>
      <c r="H1107" s="633">
        <v>2130</v>
      </c>
      <c r="I1107" s="618"/>
      <c r="J1107" s="619" t="s">
        <v>1118</v>
      </c>
      <c r="K1107" s="618"/>
      <c r="L1107" s="619">
        <v>108</v>
      </c>
      <c r="M1107" s="620">
        <v>103</v>
      </c>
      <c r="N1107" s="619"/>
      <c r="O1107" s="619">
        <v>13</v>
      </c>
      <c r="P1107" s="619" t="s">
        <v>760</v>
      </c>
      <c r="Q1107" s="662" t="s">
        <v>1545</v>
      </c>
      <c r="R1107" s="618"/>
      <c r="S1107" s="621" t="s">
        <v>1929</v>
      </c>
      <c r="T1107" s="619" t="s">
        <v>1025</v>
      </c>
    </row>
    <row r="1108" spans="1:20">
      <c r="A1108" s="622"/>
      <c r="B1108" s="628"/>
      <c r="C1108" s="623"/>
      <c r="D1108" s="623" t="s">
        <v>803</v>
      </c>
      <c r="E1108" s="627" t="s">
        <v>252</v>
      </c>
      <c r="F1108" s="626"/>
      <c r="G1108" s="623"/>
      <c r="H1108" s="627"/>
      <c r="I1108" s="618"/>
      <c r="J1108" s="618"/>
      <c r="K1108" s="618"/>
      <c r="L1108" s="618"/>
      <c r="M1108" s="618"/>
      <c r="N1108" s="618"/>
      <c r="O1108" s="618"/>
      <c r="P1108" s="618"/>
      <c r="Q1108" s="662"/>
      <c r="R1108" s="618"/>
      <c r="S1108" s="621"/>
      <c r="T1108" s="618"/>
    </row>
    <row r="1109" spans="1:20">
      <c r="A1109" s="630">
        <v>5242130</v>
      </c>
      <c r="B1109" s="628"/>
      <c r="C1109" s="623"/>
      <c r="D1109" s="623"/>
      <c r="E1109" s="627" t="s">
        <v>1953</v>
      </c>
      <c r="F1109" s="631" t="s">
        <v>1954</v>
      </c>
      <c r="G1109" s="661">
        <v>524</v>
      </c>
      <c r="H1109" s="633">
        <v>2130</v>
      </c>
      <c r="I1109" s="618"/>
      <c r="J1109" s="619" t="s">
        <v>1953</v>
      </c>
      <c r="K1109" s="618"/>
      <c r="L1109" s="619">
        <v>115</v>
      </c>
      <c r="M1109" s="620">
        <v>107</v>
      </c>
      <c r="N1109" s="619"/>
      <c r="O1109" s="619">
        <v>13</v>
      </c>
      <c r="P1109" s="619" t="s">
        <v>760</v>
      </c>
      <c r="Q1109" s="662" t="s">
        <v>1545</v>
      </c>
      <c r="R1109" s="618"/>
      <c r="S1109" s="621" t="s">
        <v>1929</v>
      </c>
      <c r="T1109" s="619" t="s">
        <v>1955</v>
      </c>
    </row>
    <row r="1110" spans="1:20">
      <c r="A1110" s="630">
        <v>5822130</v>
      </c>
      <c r="B1110" s="628"/>
      <c r="C1110" s="623"/>
      <c r="D1110" s="623"/>
      <c r="E1110" s="627" t="s">
        <v>1134</v>
      </c>
      <c r="F1110" s="631" t="s">
        <v>1956</v>
      </c>
      <c r="G1110" s="661">
        <v>582</v>
      </c>
      <c r="H1110" s="633">
        <v>2130</v>
      </c>
      <c r="I1110" s="618"/>
      <c r="J1110" s="619" t="s">
        <v>1134</v>
      </c>
      <c r="K1110" s="618"/>
      <c r="L1110" s="619">
        <v>118</v>
      </c>
      <c r="M1110" s="620">
        <v>109</v>
      </c>
      <c r="N1110" s="619"/>
      <c r="O1110" s="619">
        <v>13</v>
      </c>
      <c r="P1110" s="619" t="s">
        <v>760</v>
      </c>
      <c r="Q1110" s="662" t="s">
        <v>1545</v>
      </c>
      <c r="R1110" s="618"/>
      <c r="S1110" s="621" t="s">
        <v>1929</v>
      </c>
      <c r="T1110" s="619" t="s">
        <v>1037</v>
      </c>
    </row>
    <row r="1111" spans="1:20">
      <c r="A1111" s="630">
        <v>5002130</v>
      </c>
      <c r="B1111" s="670"/>
      <c r="C1111" s="632"/>
      <c r="D1111" s="632"/>
      <c r="E1111" s="637" t="s">
        <v>1136</v>
      </c>
      <c r="F1111" s="631" t="s">
        <v>1957</v>
      </c>
      <c r="G1111" s="661">
        <v>500</v>
      </c>
      <c r="H1111" s="633">
        <v>2130</v>
      </c>
      <c r="I1111" s="618"/>
      <c r="J1111" s="619" t="s">
        <v>1136</v>
      </c>
      <c r="K1111" s="618"/>
      <c r="L1111" s="619">
        <v>119</v>
      </c>
      <c r="M1111" s="620">
        <v>110</v>
      </c>
      <c r="N1111" s="619"/>
      <c r="O1111" s="619">
        <v>13</v>
      </c>
      <c r="P1111" s="619" t="s">
        <v>760</v>
      </c>
      <c r="Q1111" s="662" t="s">
        <v>1545</v>
      </c>
      <c r="R1111" s="618"/>
      <c r="S1111" s="621" t="s">
        <v>1929</v>
      </c>
      <c r="T1111" s="619" t="s">
        <v>252</v>
      </c>
    </row>
    <row r="1112" spans="1:20">
      <c r="A1112" s="622"/>
      <c r="B1112" s="628"/>
      <c r="C1112" s="623"/>
      <c r="D1112" s="623" t="s">
        <v>848</v>
      </c>
      <c r="E1112" s="627" t="s">
        <v>254</v>
      </c>
      <c r="F1112" s="626"/>
      <c r="G1112" s="623"/>
      <c r="H1112" s="627"/>
      <c r="I1112" s="618"/>
      <c r="J1112" s="618"/>
      <c r="K1112" s="618"/>
      <c r="L1112" s="618"/>
      <c r="M1112" s="618"/>
      <c r="N1112" s="618"/>
      <c r="O1112" s="618"/>
      <c r="P1112" s="618"/>
      <c r="Q1112" s="662"/>
      <c r="R1112" s="618"/>
      <c r="S1112" s="621"/>
      <c r="T1112" s="618"/>
    </row>
    <row r="1113" spans="1:20">
      <c r="A1113" s="630">
        <v>6152130</v>
      </c>
      <c r="B1113" s="628"/>
      <c r="C1113" s="623"/>
      <c r="D1113" s="623"/>
      <c r="E1113" s="627" t="s">
        <v>1138</v>
      </c>
      <c r="F1113" s="631" t="s">
        <v>1958</v>
      </c>
      <c r="G1113" s="661">
        <v>615</v>
      </c>
      <c r="H1113" s="633">
        <v>2130</v>
      </c>
      <c r="I1113" s="618"/>
      <c r="J1113" s="619" t="s">
        <v>1138</v>
      </c>
      <c r="K1113" s="618"/>
      <c r="L1113" s="619">
        <v>126</v>
      </c>
      <c r="M1113" s="620">
        <v>117</v>
      </c>
      <c r="N1113" s="619"/>
      <c r="O1113" s="619">
        <v>13</v>
      </c>
      <c r="P1113" s="619" t="s">
        <v>760</v>
      </c>
      <c r="Q1113" s="662" t="s">
        <v>1545</v>
      </c>
      <c r="R1113" s="618"/>
      <c r="S1113" s="621" t="s">
        <v>1929</v>
      </c>
      <c r="T1113" s="619" t="s">
        <v>1041</v>
      </c>
    </row>
    <row r="1114" spans="1:20">
      <c r="A1114" s="630">
        <v>6102130</v>
      </c>
      <c r="B1114" s="628"/>
      <c r="C1114" s="623"/>
      <c r="D1114" s="623"/>
      <c r="E1114" s="627" t="s">
        <v>1140</v>
      </c>
      <c r="F1114" s="631" t="s">
        <v>1959</v>
      </c>
      <c r="G1114" s="661">
        <v>610</v>
      </c>
      <c r="H1114" s="633">
        <v>2130</v>
      </c>
      <c r="I1114" s="618"/>
      <c r="J1114" s="619" t="s">
        <v>1140</v>
      </c>
      <c r="K1114" s="618"/>
      <c r="L1114" s="619">
        <v>122</v>
      </c>
      <c r="M1114" s="620">
        <v>113</v>
      </c>
      <c r="N1114" s="619"/>
      <c r="O1114" s="619">
        <v>13</v>
      </c>
      <c r="P1114" s="619" t="s">
        <v>760</v>
      </c>
      <c r="Q1114" s="662" t="s">
        <v>1545</v>
      </c>
      <c r="R1114" s="618"/>
      <c r="S1114" s="621" t="s">
        <v>1929</v>
      </c>
      <c r="T1114" s="619" t="s">
        <v>39</v>
      </c>
    </row>
    <row r="1115" spans="1:20">
      <c r="A1115" s="630">
        <v>6002130</v>
      </c>
      <c r="B1115" s="628"/>
      <c r="C1115" s="623"/>
      <c r="D1115" s="623"/>
      <c r="E1115" s="627" t="s">
        <v>1869</v>
      </c>
      <c r="F1115" s="631" t="s">
        <v>1960</v>
      </c>
      <c r="G1115" s="661">
        <v>600</v>
      </c>
      <c r="H1115" s="633">
        <v>2130</v>
      </c>
      <c r="I1115" s="618"/>
      <c r="J1115" s="619" t="s">
        <v>1869</v>
      </c>
      <c r="K1115" s="618"/>
      <c r="L1115" s="619">
        <v>126</v>
      </c>
      <c r="M1115" s="620">
        <v>117</v>
      </c>
      <c r="N1115" s="619"/>
      <c r="O1115" s="619">
        <v>13</v>
      </c>
      <c r="P1115" s="619" t="s">
        <v>760</v>
      </c>
      <c r="Q1115" s="662" t="s">
        <v>1545</v>
      </c>
      <c r="R1115" s="618"/>
      <c r="S1115" s="621" t="s">
        <v>1929</v>
      </c>
      <c r="T1115" s="619" t="s">
        <v>1048</v>
      </c>
    </row>
    <row r="1116" spans="1:20">
      <c r="A1116" s="622"/>
      <c r="B1116" s="628"/>
      <c r="C1116" s="623"/>
      <c r="D1116" s="623" t="s">
        <v>851</v>
      </c>
      <c r="E1116" s="627" t="s">
        <v>1050</v>
      </c>
      <c r="F1116" s="626"/>
      <c r="G1116" s="623"/>
      <c r="H1116" s="627"/>
      <c r="I1116" s="618"/>
      <c r="J1116" s="618"/>
      <c r="K1116" s="618"/>
      <c r="L1116" s="618"/>
      <c r="M1116" s="618"/>
      <c r="N1116" s="618"/>
      <c r="O1116" s="618"/>
      <c r="P1116" s="618"/>
      <c r="Q1116" s="662"/>
      <c r="R1116" s="618"/>
      <c r="S1116" s="621"/>
      <c r="T1116" s="618"/>
    </row>
    <row r="1117" spans="1:20">
      <c r="A1117" s="630">
        <v>7342130</v>
      </c>
      <c r="B1117" s="628"/>
      <c r="C1117" s="623"/>
      <c r="D1117" s="623"/>
      <c r="E1117" s="627" t="s">
        <v>1146</v>
      </c>
      <c r="F1117" s="631" t="s">
        <v>1961</v>
      </c>
      <c r="G1117" s="661">
        <v>734</v>
      </c>
      <c r="H1117" s="633">
        <v>2130</v>
      </c>
      <c r="I1117" s="618"/>
      <c r="J1117" s="619" t="s">
        <v>1146</v>
      </c>
      <c r="K1117" s="618"/>
      <c r="L1117" s="619">
        <v>131</v>
      </c>
      <c r="M1117" s="620">
        <v>122</v>
      </c>
      <c r="N1117" s="619"/>
      <c r="O1117" s="619">
        <v>13</v>
      </c>
      <c r="P1117" s="619" t="s">
        <v>760</v>
      </c>
      <c r="Q1117" s="662" t="s">
        <v>1545</v>
      </c>
      <c r="R1117" s="618"/>
      <c r="S1117" s="621" t="s">
        <v>1929</v>
      </c>
      <c r="T1117" s="619" t="s">
        <v>1051</v>
      </c>
    </row>
    <row r="1118" spans="1:20">
      <c r="A1118" s="630">
        <v>7352130</v>
      </c>
      <c r="B1118" s="628"/>
      <c r="C1118" s="623"/>
      <c r="D1118" s="623"/>
      <c r="E1118" s="627" t="s">
        <v>1148</v>
      </c>
      <c r="F1118" s="631" t="s">
        <v>1962</v>
      </c>
      <c r="G1118" s="661">
        <v>735</v>
      </c>
      <c r="H1118" s="633">
        <v>2130</v>
      </c>
      <c r="I1118" s="618"/>
      <c r="J1118" s="619" t="s">
        <v>1148</v>
      </c>
      <c r="K1118" s="618"/>
      <c r="L1118" s="619">
        <v>131</v>
      </c>
      <c r="M1118" s="620">
        <v>122</v>
      </c>
      <c r="N1118" s="619"/>
      <c r="O1118" s="619">
        <v>13</v>
      </c>
      <c r="P1118" s="619" t="s">
        <v>760</v>
      </c>
      <c r="Q1118" s="662" t="s">
        <v>1545</v>
      </c>
      <c r="R1118" s="618"/>
      <c r="S1118" s="621" t="s">
        <v>1929</v>
      </c>
      <c r="T1118" s="619" t="s">
        <v>1053</v>
      </c>
    </row>
    <row r="1119" spans="1:20">
      <c r="A1119" s="630">
        <v>7302130</v>
      </c>
      <c r="B1119" s="628"/>
      <c r="C1119" s="623"/>
      <c r="D1119" s="623"/>
      <c r="E1119" s="627" t="s">
        <v>1150</v>
      </c>
      <c r="F1119" s="631" t="s">
        <v>1963</v>
      </c>
      <c r="G1119" s="661">
        <v>730</v>
      </c>
      <c r="H1119" s="633">
        <v>2130</v>
      </c>
      <c r="I1119" s="618"/>
      <c r="J1119" s="619" t="s">
        <v>1150</v>
      </c>
      <c r="K1119" s="618"/>
      <c r="L1119" s="619">
        <v>131</v>
      </c>
      <c r="M1119" s="620">
        <v>122</v>
      </c>
      <c r="N1119" s="619"/>
      <c r="O1119" s="619">
        <v>13</v>
      </c>
      <c r="P1119" s="619" t="s">
        <v>760</v>
      </c>
      <c r="Q1119" s="662" t="s">
        <v>1545</v>
      </c>
      <c r="R1119" s="618"/>
      <c r="S1119" s="621" t="s">
        <v>1929</v>
      </c>
      <c r="T1119" s="619" t="s">
        <v>1055</v>
      </c>
    </row>
    <row r="1120" spans="1:20">
      <c r="A1120" s="630">
        <v>7002130</v>
      </c>
      <c r="B1120" s="628"/>
      <c r="C1120" s="623"/>
      <c r="D1120" s="623"/>
      <c r="E1120" s="627" t="s">
        <v>1152</v>
      </c>
      <c r="F1120" s="631" t="s">
        <v>1964</v>
      </c>
      <c r="G1120" s="661">
        <v>700</v>
      </c>
      <c r="H1120" s="633">
        <v>2130</v>
      </c>
      <c r="I1120" s="618"/>
      <c r="J1120" s="619" t="s">
        <v>1152</v>
      </c>
      <c r="K1120" s="618"/>
      <c r="L1120" s="619">
        <v>132</v>
      </c>
      <c r="M1120" s="620">
        <v>123</v>
      </c>
      <c r="N1120" s="619"/>
      <c r="O1120" s="619">
        <v>13</v>
      </c>
      <c r="P1120" s="619" t="s">
        <v>760</v>
      </c>
      <c r="Q1120" s="662" t="s">
        <v>1545</v>
      </c>
      <c r="R1120" s="618"/>
      <c r="S1120" s="621" t="s">
        <v>1929</v>
      </c>
      <c r="T1120" s="619" t="s">
        <v>1057</v>
      </c>
    </row>
    <row r="1121" spans="1:20">
      <c r="A1121" s="622"/>
      <c r="B1121" s="628"/>
      <c r="C1121" s="623"/>
      <c r="D1121" s="623" t="s">
        <v>854</v>
      </c>
      <c r="E1121" s="627" t="s">
        <v>256</v>
      </c>
      <c r="F1121" s="626"/>
      <c r="G1121" s="623"/>
      <c r="H1121" s="627"/>
      <c r="I1121" s="618"/>
      <c r="J1121" s="618"/>
      <c r="K1121" s="618"/>
      <c r="L1121" s="618"/>
      <c r="M1121" s="618"/>
      <c r="N1121" s="618"/>
      <c r="O1121" s="618"/>
      <c r="P1121" s="618"/>
      <c r="Q1121" s="662"/>
      <c r="R1121" s="618"/>
      <c r="S1121" s="621"/>
      <c r="T1121" s="618"/>
    </row>
    <row r="1122" spans="1:20">
      <c r="A1122" s="630">
        <v>8952130</v>
      </c>
      <c r="B1122" s="628"/>
      <c r="C1122" s="623"/>
      <c r="D1122" s="623"/>
      <c r="E1122" s="627" t="s">
        <v>1154</v>
      </c>
      <c r="F1122" s="631" t="s">
        <v>1965</v>
      </c>
      <c r="G1122" s="661">
        <v>895</v>
      </c>
      <c r="H1122" s="633">
        <v>2130</v>
      </c>
      <c r="I1122" s="618"/>
      <c r="J1122" s="619" t="s">
        <v>1154</v>
      </c>
      <c r="K1122" s="618"/>
      <c r="L1122" s="619">
        <v>139</v>
      </c>
      <c r="M1122" s="620">
        <v>129</v>
      </c>
      <c r="N1122" s="619"/>
      <c r="O1122" s="619">
        <v>13</v>
      </c>
      <c r="P1122" s="619" t="s">
        <v>760</v>
      </c>
      <c r="Q1122" s="662" t="s">
        <v>1545</v>
      </c>
      <c r="R1122" s="618"/>
      <c r="S1122" s="621" t="s">
        <v>1929</v>
      </c>
      <c r="T1122" s="619" t="s">
        <v>1059</v>
      </c>
    </row>
    <row r="1123" spans="1:20">
      <c r="A1123" s="630">
        <v>8002130</v>
      </c>
      <c r="B1123" s="628"/>
      <c r="C1123" s="623"/>
      <c r="D1123" s="623"/>
      <c r="E1123" s="627" t="s">
        <v>1156</v>
      </c>
      <c r="F1123" s="631" t="s">
        <v>1966</v>
      </c>
      <c r="G1123" s="661">
        <v>800</v>
      </c>
      <c r="H1123" s="633">
        <v>2130</v>
      </c>
      <c r="I1123" s="618"/>
      <c r="J1123" s="619" t="s">
        <v>1156</v>
      </c>
      <c r="K1123" s="618"/>
      <c r="L1123" s="619">
        <v>139</v>
      </c>
      <c r="M1123" s="620">
        <v>129</v>
      </c>
      <c r="N1123" s="619"/>
      <c r="O1123" s="619">
        <v>13</v>
      </c>
      <c r="P1123" s="619" t="s">
        <v>760</v>
      </c>
      <c r="Q1123" s="662" t="s">
        <v>1545</v>
      </c>
      <c r="R1123" s="618"/>
      <c r="S1123" s="621" t="s">
        <v>1929</v>
      </c>
      <c r="T1123" s="619" t="s">
        <v>1061</v>
      </c>
    </row>
    <row r="1124" spans="1:20">
      <c r="A1124" s="622"/>
      <c r="B1124" s="628"/>
      <c r="C1124" s="623"/>
      <c r="D1124" s="623" t="s">
        <v>857</v>
      </c>
      <c r="E1124" s="627" t="s">
        <v>1063</v>
      </c>
      <c r="F1124" s="626"/>
      <c r="G1124" s="623"/>
      <c r="H1124" s="627"/>
      <c r="I1124" s="618"/>
      <c r="J1124" s="618"/>
      <c r="K1124" s="618"/>
      <c r="L1124" s="618"/>
      <c r="M1124" s="618"/>
      <c r="N1124" s="618"/>
      <c r="O1124" s="618"/>
      <c r="P1124" s="618"/>
      <c r="Q1124" s="662"/>
      <c r="R1124" s="618"/>
      <c r="S1124" s="621"/>
      <c r="T1124" s="618"/>
    </row>
    <row r="1125" spans="1:20">
      <c r="A1125" s="630">
        <v>2102130</v>
      </c>
      <c r="B1125" s="628"/>
      <c r="C1125" s="623"/>
      <c r="D1125" s="623"/>
      <c r="E1125" s="627" t="s">
        <v>1158</v>
      </c>
      <c r="F1125" s="631" t="s">
        <v>1967</v>
      </c>
      <c r="G1125" s="661">
        <v>210</v>
      </c>
      <c r="H1125" s="633">
        <v>2130</v>
      </c>
      <c r="I1125" s="618"/>
      <c r="J1125" s="619" t="s">
        <v>1158</v>
      </c>
      <c r="K1125" s="618"/>
      <c r="L1125" s="619">
        <v>89</v>
      </c>
      <c r="M1125" s="620">
        <v>84</v>
      </c>
      <c r="N1125" s="619"/>
      <c r="O1125" s="619">
        <v>13</v>
      </c>
      <c r="P1125" s="619" t="s">
        <v>760</v>
      </c>
      <c r="Q1125" s="662" t="s">
        <v>1545</v>
      </c>
      <c r="R1125" s="618"/>
      <c r="S1125" s="621" t="s">
        <v>1929</v>
      </c>
      <c r="T1125" s="619" t="s">
        <v>1064</v>
      </c>
    </row>
    <row r="1126" spans="1:20">
      <c r="A1126" s="630">
        <v>2202130</v>
      </c>
      <c r="B1126" s="628"/>
      <c r="C1126" s="623"/>
      <c r="D1126" s="623"/>
      <c r="E1126" s="627" t="s">
        <v>1160</v>
      </c>
      <c r="F1126" s="631" t="s">
        <v>1968</v>
      </c>
      <c r="G1126" s="661">
        <v>220</v>
      </c>
      <c r="H1126" s="633">
        <v>2130</v>
      </c>
      <c r="I1126" s="618"/>
      <c r="J1126" s="619" t="s">
        <v>1160</v>
      </c>
      <c r="K1126" s="618"/>
      <c r="L1126" s="619">
        <v>90</v>
      </c>
      <c r="M1126" s="620">
        <v>85</v>
      </c>
      <c r="N1126" s="619"/>
      <c r="O1126" s="619">
        <v>13</v>
      </c>
      <c r="P1126" s="619" t="s">
        <v>760</v>
      </c>
      <c r="Q1126" s="662" t="s">
        <v>1545</v>
      </c>
      <c r="R1126" s="618"/>
      <c r="S1126" s="621" t="s">
        <v>1929</v>
      </c>
      <c r="T1126" s="619" t="s">
        <v>1066</v>
      </c>
    </row>
    <row r="1127" spans="1:20">
      <c r="A1127" s="630">
        <v>2252130</v>
      </c>
      <c r="B1127" s="628"/>
      <c r="C1127" s="623"/>
      <c r="D1127" s="623"/>
      <c r="E1127" s="627" t="s">
        <v>1162</v>
      </c>
      <c r="F1127" s="631" t="s">
        <v>1969</v>
      </c>
      <c r="G1127" s="661">
        <v>225</v>
      </c>
      <c r="H1127" s="633">
        <v>2130</v>
      </c>
      <c r="I1127" s="618"/>
      <c r="J1127" s="619" t="s">
        <v>1162</v>
      </c>
      <c r="K1127" s="618"/>
      <c r="L1127" s="619">
        <v>91</v>
      </c>
      <c r="M1127" s="620">
        <v>86</v>
      </c>
      <c r="N1127" s="619"/>
      <c r="O1127" s="619">
        <v>13</v>
      </c>
      <c r="P1127" s="619" t="s">
        <v>760</v>
      </c>
      <c r="Q1127" s="662" t="s">
        <v>1545</v>
      </c>
      <c r="R1127" s="618"/>
      <c r="S1127" s="621" t="s">
        <v>1929</v>
      </c>
      <c r="T1127" s="619" t="s">
        <v>23</v>
      </c>
    </row>
    <row r="1128" spans="1:20">
      <c r="A1128" s="622"/>
      <c r="B1128" s="628"/>
      <c r="C1128" s="623"/>
      <c r="D1128" s="623"/>
      <c r="E1128" s="627" t="s">
        <v>1164</v>
      </c>
      <c r="F1128" s="626"/>
      <c r="G1128" s="623"/>
      <c r="H1128" s="627"/>
      <c r="I1128" s="618"/>
      <c r="J1128" s="618"/>
      <c r="K1128" s="618"/>
      <c r="L1128" s="618"/>
      <c r="M1128" s="618"/>
      <c r="N1128" s="618"/>
      <c r="O1128" s="618"/>
      <c r="P1128" s="618"/>
      <c r="Q1128" s="662"/>
      <c r="R1128" s="618"/>
      <c r="S1128" s="621"/>
      <c r="T1128" s="618"/>
    </row>
    <row r="1129" spans="1:20">
      <c r="A1129" s="630">
        <v>2312130</v>
      </c>
      <c r="B1129" s="628"/>
      <c r="C1129" s="623"/>
      <c r="D1129" s="623"/>
      <c r="E1129" s="627" t="s">
        <v>1165</v>
      </c>
      <c r="F1129" s="631" t="s">
        <v>1970</v>
      </c>
      <c r="G1129" s="661">
        <v>231</v>
      </c>
      <c r="H1129" s="633">
        <v>2130</v>
      </c>
      <c r="I1129" s="618"/>
      <c r="J1129" s="619" t="s">
        <v>1165</v>
      </c>
      <c r="K1129" s="618"/>
      <c r="L1129" s="619">
        <v>92</v>
      </c>
      <c r="M1129" s="620">
        <v>87</v>
      </c>
      <c r="N1129" s="619"/>
      <c r="O1129" s="619">
        <v>13</v>
      </c>
      <c r="P1129" s="619" t="s">
        <v>760</v>
      </c>
      <c r="Q1129" s="662" t="s">
        <v>1545</v>
      </c>
      <c r="R1129" s="618"/>
      <c r="S1129" s="621" t="s">
        <v>1929</v>
      </c>
      <c r="T1129" s="619" t="s">
        <v>1072</v>
      </c>
    </row>
    <row r="1130" spans="1:20">
      <c r="A1130" s="630">
        <v>2332130</v>
      </c>
      <c r="B1130" s="628"/>
      <c r="C1130" s="623"/>
      <c r="D1130" s="623"/>
      <c r="E1130" s="627" t="s">
        <v>1167</v>
      </c>
      <c r="F1130" s="631" t="s">
        <v>1971</v>
      </c>
      <c r="G1130" s="661">
        <v>233</v>
      </c>
      <c r="H1130" s="633">
        <v>2130</v>
      </c>
      <c r="I1130" s="618"/>
      <c r="J1130" s="619" t="s">
        <v>1167</v>
      </c>
      <c r="K1130" s="618"/>
      <c r="L1130" s="619">
        <v>92</v>
      </c>
      <c r="M1130" s="620">
        <v>87</v>
      </c>
      <c r="N1130" s="619"/>
      <c r="O1130" s="619">
        <v>13</v>
      </c>
      <c r="P1130" s="619" t="s">
        <v>760</v>
      </c>
      <c r="Q1130" s="662" t="s">
        <v>1545</v>
      </c>
      <c r="R1130" s="618"/>
      <c r="S1130" s="621" t="s">
        <v>1929</v>
      </c>
      <c r="T1130" s="619" t="s">
        <v>1169</v>
      </c>
    </row>
    <row r="1131" spans="1:20">
      <c r="A1131" s="630">
        <v>2392130</v>
      </c>
      <c r="B1131" s="628"/>
      <c r="C1131" s="623"/>
      <c r="D1131" s="623"/>
      <c r="E1131" s="627" t="s">
        <v>1170</v>
      </c>
      <c r="F1131" s="631" t="s">
        <v>1972</v>
      </c>
      <c r="G1131" s="661">
        <v>239</v>
      </c>
      <c r="H1131" s="633">
        <v>2130</v>
      </c>
      <c r="I1131" s="618"/>
      <c r="J1131" s="619" t="s">
        <v>1170</v>
      </c>
      <c r="K1131" s="618"/>
      <c r="L1131" s="619">
        <v>92</v>
      </c>
      <c r="M1131" s="620">
        <v>87</v>
      </c>
      <c r="N1131" s="619"/>
      <c r="O1131" s="619">
        <v>13</v>
      </c>
      <c r="P1131" s="619" t="s">
        <v>760</v>
      </c>
      <c r="Q1131" s="662" t="s">
        <v>1545</v>
      </c>
      <c r="R1131" s="618"/>
      <c r="S1131" s="621" t="s">
        <v>1929</v>
      </c>
      <c r="T1131" s="619" t="s">
        <v>1078</v>
      </c>
    </row>
    <row r="1132" spans="1:20">
      <c r="A1132" s="630">
        <v>2502130</v>
      </c>
      <c r="B1132" s="628"/>
      <c r="C1132" s="623"/>
      <c r="D1132" s="623"/>
      <c r="E1132" s="627" t="s">
        <v>1172</v>
      </c>
      <c r="F1132" s="631" t="s">
        <v>1973</v>
      </c>
      <c r="G1132" s="661">
        <v>250</v>
      </c>
      <c r="H1132" s="633">
        <v>2130</v>
      </c>
      <c r="I1132" s="618"/>
      <c r="J1132" s="619" t="s">
        <v>1172</v>
      </c>
      <c r="K1132" s="618"/>
      <c r="L1132" s="619">
        <v>93</v>
      </c>
      <c r="M1132" s="620">
        <v>88</v>
      </c>
      <c r="N1132" s="619"/>
      <c r="O1132" s="619">
        <v>13</v>
      </c>
      <c r="P1132" s="619" t="s">
        <v>760</v>
      </c>
      <c r="Q1132" s="662" t="s">
        <v>1545</v>
      </c>
      <c r="R1132" s="618"/>
      <c r="S1132" s="621" t="s">
        <v>1929</v>
      </c>
      <c r="T1132" s="619" t="s">
        <v>1079</v>
      </c>
    </row>
    <row r="1133" spans="1:20">
      <c r="A1133" s="630">
        <v>2602130</v>
      </c>
      <c r="B1133" s="628"/>
      <c r="C1133" s="623"/>
      <c r="D1133" s="623"/>
      <c r="E1133" s="627" t="s">
        <v>1174</v>
      </c>
      <c r="F1133" s="631" t="s">
        <v>1974</v>
      </c>
      <c r="G1133" s="661">
        <v>260</v>
      </c>
      <c r="H1133" s="633">
        <v>2130</v>
      </c>
      <c r="I1133" s="618"/>
      <c r="J1133" s="619" t="s">
        <v>1174</v>
      </c>
      <c r="K1133" s="618"/>
      <c r="L1133" s="619">
        <v>95</v>
      </c>
      <c r="M1133" s="620">
        <v>90</v>
      </c>
      <c r="N1133" s="619"/>
      <c r="O1133" s="619">
        <v>13</v>
      </c>
      <c r="P1133" s="619" t="s">
        <v>760</v>
      </c>
      <c r="Q1133" s="662" t="s">
        <v>1545</v>
      </c>
      <c r="R1133" s="618"/>
      <c r="S1133" s="621" t="s">
        <v>1929</v>
      </c>
      <c r="T1133" s="619" t="s">
        <v>1081</v>
      </c>
    </row>
    <row r="1134" spans="1:20">
      <c r="A1134" s="630">
        <v>2702130</v>
      </c>
      <c r="B1134" s="628"/>
      <c r="C1134" s="623"/>
      <c r="D1134" s="623"/>
      <c r="E1134" s="627" t="s">
        <v>1176</v>
      </c>
      <c r="F1134" s="631" t="s">
        <v>1975</v>
      </c>
      <c r="G1134" s="661">
        <v>270</v>
      </c>
      <c r="H1134" s="633">
        <v>2130</v>
      </c>
      <c r="I1134" s="618"/>
      <c r="J1134" s="619" t="s">
        <v>1176</v>
      </c>
      <c r="K1134" s="618"/>
      <c r="L1134" s="619">
        <v>94</v>
      </c>
      <c r="M1134" s="620">
        <v>89</v>
      </c>
      <c r="N1134" s="619"/>
      <c r="O1134" s="619">
        <v>13</v>
      </c>
      <c r="P1134" s="619" t="s">
        <v>760</v>
      </c>
      <c r="Q1134" s="662" t="s">
        <v>1545</v>
      </c>
      <c r="R1134" s="618"/>
      <c r="S1134" s="621" t="s">
        <v>1929</v>
      </c>
      <c r="T1134" s="619" t="s">
        <v>1083</v>
      </c>
    </row>
    <row r="1135" spans="1:20">
      <c r="A1135" s="630">
        <v>2812130</v>
      </c>
      <c r="B1135" s="628"/>
      <c r="C1135" s="623"/>
      <c r="D1135" s="623"/>
      <c r="E1135" s="627" t="s">
        <v>1178</v>
      </c>
      <c r="F1135" s="631" t="s">
        <v>1976</v>
      </c>
      <c r="G1135" s="661">
        <v>281</v>
      </c>
      <c r="H1135" s="633">
        <v>2130</v>
      </c>
      <c r="I1135" s="618"/>
      <c r="J1135" s="619" t="s">
        <v>1178</v>
      </c>
      <c r="K1135" s="618"/>
      <c r="L1135" s="619">
        <v>95</v>
      </c>
      <c r="M1135" s="620">
        <v>90</v>
      </c>
      <c r="N1135" s="619"/>
      <c r="O1135" s="619">
        <v>13</v>
      </c>
      <c r="P1135" s="619" t="s">
        <v>760</v>
      </c>
      <c r="Q1135" s="662" t="s">
        <v>1545</v>
      </c>
      <c r="R1135" s="618"/>
      <c r="S1135" s="621" t="s">
        <v>1929</v>
      </c>
      <c r="T1135" s="619" t="s">
        <v>1085</v>
      </c>
    </row>
    <row r="1136" spans="1:20">
      <c r="A1136" s="630">
        <v>2822130</v>
      </c>
      <c r="B1136" s="628"/>
      <c r="C1136" s="623"/>
      <c r="D1136" s="623"/>
      <c r="E1136" s="627" t="s">
        <v>1180</v>
      </c>
      <c r="F1136" s="631" t="s">
        <v>1977</v>
      </c>
      <c r="G1136" s="661">
        <v>282</v>
      </c>
      <c r="H1136" s="633">
        <v>2130</v>
      </c>
      <c r="I1136" s="618"/>
      <c r="J1136" s="619" t="s">
        <v>1180</v>
      </c>
      <c r="K1136" s="618"/>
      <c r="L1136" s="619">
        <v>95</v>
      </c>
      <c r="M1136" s="620">
        <v>90</v>
      </c>
      <c r="N1136" s="619"/>
      <c r="O1136" s="619">
        <v>13</v>
      </c>
      <c r="P1136" s="619" t="s">
        <v>760</v>
      </c>
      <c r="Q1136" s="662" t="s">
        <v>1545</v>
      </c>
      <c r="R1136" s="618"/>
      <c r="S1136" s="621" t="s">
        <v>1929</v>
      </c>
      <c r="T1136" s="619" t="s">
        <v>1087</v>
      </c>
    </row>
    <row r="1137" spans="1:20">
      <c r="A1137" s="630">
        <v>2902130</v>
      </c>
      <c r="B1137" s="628"/>
      <c r="C1137" s="623"/>
      <c r="D1137" s="623"/>
      <c r="E1137" s="627" t="s">
        <v>1182</v>
      </c>
      <c r="F1137" s="634" t="s">
        <v>1978</v>
      </c>
      <c r="G1137" s="629">
        <v>290</v>
      </c>
      <c r="H1137" s="635">
        <v>2130</v>
      </c>
      <c r="I1137" s="618"/>
      <c r="J1137" s="619" t="s">
        <v>1182</v>
      </c>
      <c r="K1137" s="618"/>
      <c r="L1137" s="619">
        <v>95</v>
      </c>
      <c r="M1137" s="620">
        <v>90</v>
      </c>
      <c r="N1137" s="619"/>
      <c r="O1137" s="619">
        <v>13</v>
      </c>
      <c r="P1137" s="619" t="s">
        <v>760</v>
      </c>
      <c r="Q1137" s="662" t="s">
        <v>1545</v>
      </c>
      <c r="R1137" s="618"/>
      <c r="S1137" s="621" t="s">
        <v>1929</v>
      </c>
      <c r="T1137" s="619" t="s">
        <v>1090</v>
      </c>
    </row>
    <row r="1138" spans="1:20">
      <c r="A1138" s="622"/>
      <c r="B1138" s="628"/>
      <c r="C1138" s="629">
        <v>50</v>
      </c>
      <c r="D1138" s="784" t="s">
        <v>1979</v>
      </c>
      <c r="E1138" s="775"/>
      <c r="F1138" s="626"/>
      <c r="G1138" s="623"/>
      <c r="H1138" s="627"/>
      <c r="I1138" s="618"/>
      <c r="J1138" s="618"/>
      <c r="K1138" s="618"/>
      <c r="L1138" s="618"/>
      <c r="M1138" s="618"/>
      <c r="N1138" s="618"/>
      <c r="O1138" s="618"/>
      <c r="P1138" s="618"/>
      <c r="Q1138" s="662"/>
      <c r="R1138" s="618"/>
      <c r="S1138" s="621"/>
      <c r="T1138" s="618"/>
    </row>
    <row r="1139" spans="1:20">
      <c r="A1139" s="622"/>
      <c r="B1139" s="628"/>
      <c r="C1139" s="623"/>
      <c r="D1139" s="623" t="s">
        <v>756</v>
      </c>
      <c r="E1139" s="627" t="s">
        <v>244</v>
      </c>
      <c r="F1139" s="626"/>
      <c r="G1139" s="623"/>
      <c r="H1139" s="627"/>
      <c r="I1139" s="618"/>
      <c r="J1139" s="618"/>
      <c r="K1139" s="618"/>
      <c r="L1139" s="618"/>
      <c r="M1139" s="618"/>
      <c r="N1139" s="618"/>
      <c r="O1139" s="618"/>
      <c r="P1139" s="618"/>
      <c r="Q1139" s="662"/>
      <c r="R1139" s="618"/>
      <c r="S1139" s="621"/>
      <c r="T1139" s="618"/>
    </row>
    <row r="1140" spans="1:20">
      <c r="A1140" s="630">
        <v>1112141</v>
      </c>
      <c r="B1140" s="628"/>
      <c r="C1140" s="623"/>
      <c r="D1140" s="623"/>
      <c r="E1140" s="627" t="s">
        <v>1844</v>
      </c>
      <c r="F1140" s="631" t="s">
        <v>1980</v>
      </c>
      <c r="G1140" s="661">
        <v>111</v>
      </c>
      <c r="H1140" s="633">
        <v>2141</v>
      </c>
      <c r="I1140" s="618"/>
      <c r="J1140" s="619" t="s">
        <v>1844</v>
      </c>
      <c r="K1140" s="618"/>
      <c r="L1140" s="619">
        <v>81</v>
      </c>
      <c r="M1140" s="620">
        <v>76</v>
      </c>
      <c r="N1140" s="619"/>
      <c r="O1140" s="619">
        <v>13</v>
      </c>
      <c r="P1140" s="619" t="s">
        <v>1098</v>
      </c>
      <c r="Q1140" s="662" t="s">
        <v>1545</v>
      </c>
      <c r="R1140" s="618"/>
      <c r="S1140" s="621" t="s">
        <v>1981</v>
      </c>
      <c r="T1140" s="619" t="s">
        <v>1847</v>
      </c>
    </row>
    <row r="1141" spans="1:20">
      <c r="A1141" s="630">
        <v>1132143</v>
      </c>
      <c r="B1141" s="628"/>
      <c r="C1141" s="623"/>
      <c r="D1141" s="623"/>
      <c r="E1141" s="627" t="s">
        <v>1982</v>
      </c>
      <c r="F1141" s="631" t="s">
        <v>1983</v>
      </c>
      <c r="G1141" s="661">
        <v>113</v>
      </c>
      <c r="H1141" s="633">
        <v>2143</v>
      </c>
      <c r="I1141" s="618"/>
      <c r="J1141" s="619" t="s">
        <v>1982</v>
      </c>
      <c r="K1141" s="618"/>
      <c r="L1141" s="619">
        <v>83</v>
      </c>
      <c r="M1141" s="620">
        <v>78</v>
      </c>
      <c r="N1141" s="619"/>
      <c r="O1141" s="619">
        <v>13</v>
      </c>
      <c r="P1141" s="619" t="s">
        <v>1098</v>
      </c>
      <c r="Q1141" s="662" t="s">
        <v>1545</v>
      </c>
      <c r="R1141" s="618"/>
      <c r="S1141" s="621" t="s">
        <v>1981</v>
      </c>
      <c r="T1141" s="619" t="s">
        <v>1984</v>
      </c>
    </row>
    <row r="1142" spans="1:20">
      <c r="A1142" s="630">
        <v>1132145</v>
      </c>
      <c r="B1142" s="628"/>
      <c r="C1142" s="623"/>
      <c r="D1142" s="623"/>
      <c r="E1142" s="627" t="s">
        <v>1985</v>
      </c>
      <c r="F1142" s="631" t="s">
        <v>1986</v>
      </c>
      <c r="G1142" s="661">
        <v>113</v>
      </c>
      <c r="H1142" s="633">
        <v>2145</v>
      </c>
      <c r="I1142" s="618"/>
      <c r="J1142" s="619" t="s">
        <v>1985</v>
      </c>
      <c r="K1142" s="618"/>
      <c r="L1142" s="619">
        <v>83</v>
      </c>
      <c r="M1142" s="620">
        <v>78</v>
      </c>
      <c r="N1142" s="619"/>
      <c r="O1142" s="619">
        <v>13</v>
      </c>
      <c r="P1142" s="619" t="s">
        <v>1098</v>
      </c>
      <c r="Q1142" s="662" t="s">
        <v>1545</v>
      </c>
      <c r="R1142" s="618"/>
      <c r="S1142" s="621" t="s">
        <v>1981</v>
      </c>
      <c r="T1142" s="619" t="s">
        <v>1987</v>
      </c>
    </row>
    <row r="1143" spans="1:20">
      <c r="A1143" s="630">
        <v>1132140</v>
      </c>
      <c r="B1143" s="628"/>
      <c r="C1143" s="623"/>
      <c r="D1143" s="623"/>
      <c r="E1143" s="627" t="s">
        <v>1988</v>
      </c>
      <c r="F1143" s="631" t="s">
        <v>1989</v>
      </c>
      <c r="G1143" s="661">
        <v>113</v>
      </c>
      <c r="H1143" s="633">
        <v>2140</v>
      </c>
      <c r="I1143" s="618"/>
      <c r="J1143" s="619" t="s">
        <v>1988</v>
      </c>
      <c r="K1143" s="618"/>
      <c r="L1143" s="619">
        <v>83</v>
      </c>
      <c r="M1143" s="620">
        <v>78</v>
      </c>
      <c r="N1143" s="619"/>
      <c r="O1143" s="619">
        <v>13</v>
      </c>
      <c r="P1143" s="619" t="s">
        <v>1098</v>
      </c>
      <c r="Q1143" s="662" t="s">
        <v>1545</v>
      </c>
      <c r="R1143" s="618"/>
      <c r="S1143" s="621" t="s">
        <v>1981</v>
      </c>
      <c r="T1143" s="619" t="s">
        <v>1990</v>
      </c>
    </row>
    <row r="1144" spans="1:20">
      <c r="A1144" s="630">
        <v>1142140</v>
      </c>
      <c r="B1144" s="628"/>
      <c r="C1144" s="623"/>
      <c r="D1144" s="623"/>
      <c r="E1144" s="627" t="s">
        <v>1939</v>
      </c>
      <c r="F1144" s="631" t="s">
        <v>1991</v>
      </c>
      <c r="G1144" s="661">
        <v>114</v>
      </c>
      <c r="H1144" s="633">
        <v>2140</v>
      </c>
      <c r="I1144" s="618"/>
      <c r="J1144" s="619" t="s">
        <v>1939</v>
      </c>
      <c r="K1144" s="618"/>
      <c r="L1144" s="619">
        <v>84</v>
      </c>
      <c r="M1144" s="620">
        <v>79</v>
      </c>
      <c r="N1144" s="619"/>
      <c r="O1144" s="619">
        <v>13</v>
      </c>
      <c r="P1144" s="619" t="s">
        <v>1098</v>
      </c>
      <c r="Q1144" s="662" t="s">
        <v>1545</v>
      </c>
      <c r="R1144" s="618"/>
      <c r="S1144" s="621" t="s">
        <v>1981</v>
      </c>
      <c r="T1144" s="619" t="s">
        <v>1853</v>
      </c>
    </row>
    <row r="1145" spans="1:20">
      <c r="A1145" s="630">
        <v>1002140</v>
      </c>
      <c r="B1145" s="628"/>
      <c r="C1145" s="623"/>
      <c r="D1145" s="623"/>
      <c r="E1145" s="627" t="s">
        <v>1992</v>
      </c>
      <c r="F1145" s="631" t="s">
        <v>1993</v>
      </c>
      <c r="G1145" s="661">
        <v>100</v>
      </c>
      <c r="H1145" s="631">
        <v>2140</v>
      </c>
      <c r="I1145" s="618"/>
      <c r="J1145" s="619" t="s">
        <v>1992</v>
      </c>
      <c r="K1145" s="618"/>
      <c r="L1145" s="619">
        <v>86</v>
      </c>
      <c r="M1145" s="620">
        <v>81</v>
      </c>
      <c r="N1145" s="619"/>
      <c r="O1145" s="619">
        <v>13</v>
      </c>
      <c r="P1145" s="619" t="s">
        <v>1098</v>
      </c>
      <c r="Q1145" s="662" t="s">
        <v>1545</v>
      </c>
      <c r="R1145" s="618"/>
      <c r="S1145" s="621" t="s">
        <v>1981</v>
      </c>
      <c r="T1145" s="619" t="s">
        <v>1946</v>
      </c>
    </row>
    <row r="1146" spans="1:20">
      <c r="A1146" s="630">
        <v>1402140</v>
      </c>
      <c r="B1146" s="628"/>
      <c r="C1146" s="623"/>
      <c r="D1146" s="623"/>
      <c r="E1146" s="627" t="s">
        <v>1994</v>
      </c>
      <c r="F1146" s="631" t="s">
        <v>1995</v>
      </c>
      <c r="G1146" s="661">
        <v>140</v>
      </c>
      <c r="H1146" s="633">
        <v>2140</v>
      </c>
      <c r="I1146" s="618"/>
      <c r="J1146" s="619" t="s">
        <v>1994</v>
      </c>
      <c r="K1146" s="618"/>
      <c r="L1146" s="619">
        <v>86</v>
      </c>
      <c r="M1146" s="620">
        <v>81</v>
      </c>
      <c r="N1146" s="619"/>
      <c r="O1146" s="619">
        <v>13</v>
      </c>
      <c r="P1146" s="619" t="s">
        <v>1098</v>
      </c>
      <c r="Q1146" s="662" t="s">
        <v>1545</v>
      </c>
      <c r="R1146" s="618"/>
      <c r="S1146" s="621" t="s">
        <v>1981</v>
      </c>
      <c r="T1146" s="619" t="s">
        <v>1017</v>
      </c>
    </row>
    <row r="1147" spans="1:20">
      <c r="A1147" s="630">
        <v>3002140</v>
      </c>
      <c r="B1147" s="628"/>
      <c r="C1147" s="623"/>
      <c r="D1147" s="623" t="s">
        <v>775</v>
      </c>
      <c r="E1147" s="627" t="s">
        <v>1112</v>
      </c>
      <c r="F1147" s="631" t="s">
        <v>1996</v>
      </c>
      <c r="G1147" s="661">
        <v>300</v>
      </c>
      <c r="H1147" s="633">
        <v>2140</v>
      </c>
      <c r="I1147" s="618"/>
      <c r="J1147" s="619" t="s">
        <v>1112</v>
      </c>
      <c r="K1147" s="618"/>
      <c r="L1147" s="619">
        <v>101</v>
      </c>
      <c r="M1147" s="620">
        <v>96</v>
      </c>
      <c r="N1147" s="619"/>
      <c r="O1147" s="619">
        <v>13</v>
      </c>
      <c r="P1147" s="619" t="s">
        <v>1098</v>
      </c>
      <c r="Q1147" s="662" t="s">
        <v>1545</v>
      </c>
      <c r="R1147" s="618"/>
      <c r="S1147" s="621" t="s">
        <v>1981</v>
      </c>
      <c r="T1147" s="619" t="s">
        <v>1112</v>
      </c>
    </row>
    <row r="1148" spans="1:20">
      <c r="A1148" s="622"/>
      <c r="B1148" s="628"/>
      <c r="C1148" s="623"/>
      <c r="D1148" s="623" t="s">
        <v>799</v>
      </c>
      <c r="E1148" s="627" t="s">
        <v>250</v>
      </c>
      <c r="F1148" s="626"/>
      <c r="G1148" s="623"/>
      <c r="H1148" s="627"/>
      <c r="I1148" s="618"/>
      <c r="J1148" s="618"/>
      <c r="K1148" s="618"/>
      <c r="L1148" s="618"/>
      <c r="M1148" s="618"/>
      <c r="N1148" s="618"/>
      <c r="O1148" s="618"/>
      <c r="P1148" s="618"/>
      <c r="Q1148" s="662"/>
      <c r="R1148" s="618"/>
      <c r="S1148" s="621"/>
      <c r="T1148" s="618"/>
    </row>
    <row r="1149" spans="1:20">
      <c r="A1149" s="630">
        <v>4302140</v>
      </c>
      <c r="B1149" s="628"/>
      <c r="C1149" s="623"/>
      <c r="D1149" s="623"/>
      <c r="E1149" s="627" t="s">
        <v>1114</v>
      </c>
      <c r="F1149" s="631" t="s">
        <v>1997</v>
      </c>
      <c r="G1149" s="661">
        <v>430</v>
      </c>
      <c r="H1149" s="633">
        <v>2140</v>
      </c>
      <c r="I1149" s="618"/>
      <c r="J1149" s="619" t="s">
        <v>1114</v>
      </c>
      <c r="K1149" s="618"/>
      <c r="L1149" s="619">
        <v>107</v>
      </c>
      <c r="M1149" s="620">
        <v>102</v>
      </c>
      <c r="N1149" s="619"/>
      <c r="O1149" s="619">
        <v>13</v>
      </c>
      <c r="P1149" s="619" t="s">
        <v>1098</v>
      </c>
      <c r="Q1149" s="662" t="s">
        <v>1545</v>
      </c>
      <c r="R1149" s="618"/>
      <c r="S1149" s="621" t="s">
        <v>1981</v>
      </c>
      <c r="T1149" s="619" t="s">
        <v>1021</v>
      </c>
    </row>
    <row r="1150" spans="1:20">
      <c r="A1150" s="630">
        <v>4422140</v>
      </c>
      <c r="B1150" s="628"/>
      <c r="C1150" s="623"/>
      <c r="D1150" s="623"/>
      <c r="E1150" s="627" t="s">
        <v>1116</v>
      </c>
      <c r="F1150" s="631" t="s">
        <v>1998</v>
      </c>
      <c r="G1150" s="661">
        <v>442</v>
      </c>
      <c r="H1150" s="633">
        <v>2140</v>
      </c>
      <c r="I1150" s="618"/>
      <c r="J1150" s="619" t="s">
        <v>1116</v>
      </c>
      <c r="K1150" s="618"/>
      <c r="L1150" s="619">
        <v>106</v>
      </c>
      <c r="M1150" s="620">
        <v>101</v>
      </c>
      <c r="N1150" s="619"/>
      <c r="O1150" s="619">
        <v>13</v>
      </c>
      <c r="P1150" s="619" t="s">
        <v>1098</v>
      </c>
      <c r="Q1150" s="662" t="s">
        <v>1545</v>
      </c>
      <c r="R1150" s="618"/>
      <c r="S1150" s="621" t="s">
        <v>1981</v>
      </c>
      <c r="T1150" s="619" t="s">
        <v>1023</v>
      </c>
    </row>
    <row r="1151" spans="1:20">
      <c r="A1151" s="630">
        <v>4002140</v>
      </c>
      <c r="B1151" s="628"/>
      <c r="C1151" s="623"/>
      <c r="D1151" s="623"/>
      <c r="E1151" s="627" t="s">
        <v>1118</v>
      </c>
      <c r="F1151" s="631" t="s">
        <v>1999</v>
      </c>
      <c r="G1151" s="661">
        <v>400</v>
      </c>
      <c r="H1151" s="633">
        <v>2140</v>
      </c>
      <c r="I1151" s="618"/>
      <c r="J1151" s="619" t="s">
        <v>1118</v>
      </c>
      <c r="K1151" s="618"/>
      <c r="L1151" s="619">
        <v>108</v>
      </c>
      <c r="M1151" s="620">
        <v>103</v>
      </c>
      <c r="N1151" s="619"/>
      <c r="O1151" s="619">
        <v>13</v>
      </c>
      <c r="P1151" s="619" t="s">
        <v>1098</v>
      </c>
      <c r="Q1151" s="662" t="s">
        <v>1545</v>
      </c>
      <c r="R1151" s="618"/>
      <c r="S1151" s="621" t="s">
        <v>1981</v>
      </c>
      <c r="T1151" s="619" t="s">
        <v>1025</v>
      </c>
    </row>
    <row r="1152" spans="1:20">
      <c r="A1152" s="622"/>
      <c r="B1152" s="628"/>
      <c r="C1152" s="623"/>
      <c r="D1152" s="623" t="s">
        <v>803</v>
      </c>
      <c r="E1152" s="627" t="s">
        <v>252</v>
      </c>
      <c r="F1152" s="626"/>
      <c r="G1152" s="623"/>
      <c r="H1152" s="627"/>
      <c r="I1152" s="618"/>
      <c r="J1152" s="618"/>
      <c r="K1152" s="618"/>
      <c r="L1152" s="618"/>
      <c r="M1152" s="618"/>
      <c r="N1152" s="618"/>
      <c r="O1152" s="618"/>
      <c r="P1152" s="618"/>
      <c r="Q1152" s="662"/>
      <c r="R1152" s="618"/>
      <c r="S1152" s="621"/>
      <c r="T1152" s="618"/>
    </row>
    <row r="1153" spans="1:20">
      <c r="A1153" s="630">
        <v>5822140</v>
      </c>
      <c r="B1153" s="628"/>
      <c r="C1153" s="623"/>
      <c r="D1153" s="623"/>
      <c r="E1153" s="627" t="s">
        <v>1863</v>
      </c>
      <c r="F1153" s="631" t="s">
        <v>2000</v>
      </c>
      <c r="G1153" s="661">
        <v>582</v>
      </c>
      <c r="H1153" s="633">
        <v>2140</v>
      </c>
      <c r="I1153" s="618"/>
      <c r="J1153" s="619" t="s">
        <v>1863</v>
      </c>
      <c r="K1153" s="618"/>
      <c r="L1153" s="619">
        <v>118</v>
      </c>
      <c r="M1153" s="620">
        <v>109</v>
      </c>
      <c r="N1153" s="619"/>
      <c r="O1153" s="619">
        <v>13</v>
      </c>
      <c r="P1153" s="619" t="s">
        <v>1098</v>
      </c>
      <c r="Q1153" s="662" t="s">
        <v>1545</v>
      </c>
      <c r="R1153" s="618"/>
      <c r="S1153" s="621" t="s">
        <v>1981</v>
      </c>
      <c r="T1153" s="619" t="s">
        <v>1037</v>
      </c>
    </row>
    <row r="1154" spans="1:20">
      <c r="A1154" s="630">
        <v>5002140</v>
      </c>
      <c r="B1154" s="628"/>
      <c r="C1154" s="623"/>
      <c r="D1154" s="623"/>
      <c r="E1154" s="627" t="s">
        <v>1865</v>
      </c>
      <c r="F1154" s="631" t="s">
        <v>2001</v>
      </c>
      <c r="G1154" s="661">
        <v>500</v>
      </c>
      <c r="H1154" s="633">
        <v>2140</v>
      </c>
      <c r="I1154" s="618"/>
      <c r="J1154" s="619" t="s">
        <v>1865</v>
      </c>
      <c r="K1154" s="618"/>
      <c r="L1154" s="619">
        <v>119</v>
      </c>
      <c r="M1154" s="620">
        <v>110</v>
      </c>
      <c r="N1154" s="619"/>
      <c r="O1154" s="619">
        <v>13</v>
      </c>
      <c r="P1154" s="619" t="s">
        <v>1098</v>
      </c>
      <c r="Q1154" s="662" t="s">
        <v>1545</v>
      </c>
      <c r="R1154" s="618"/>
      <c r="S1154" s="621" t="s">
        <v>1981</v>
      </c>
      <c r="T1154" s="619" t="s">
        <v>252</v>
      </c>
    </row>
    <row r="1155" spans="1:20">
      <c r="A1155" s="622"/>
      <c r="B1155" s="628"/>
      <c r="C1155" s="623"/>
      <c r="D1155" s="623" t="s">
        <v>848</v>
      </c>
      <c r="E1155" s="627" t="s">
        <v>254</v>
      </c>
      <c r="F1155" s="626"/>
      <c r="G1155" s="623"/>
      <c r="H1155" s="627"/>
      <c r="I1155" s="618"/>
      <c r="J1155" s="618"/>
      <c r="K1155" s="618"/>
      <c r="L1155" s="618"/>
      <c r="M1155" s="618"/>
      <c r="N1155" s="618"/>
      <c r="O1155" s="618"/>
      <c r="P1155" s="618"/>
      <c r="Q1155" s="662"/>
      <c r="R1155" s="618"/>
      <c r="S1155" s="621"/>
      <c r="T1155" s="618"/>
    </row>
    <row r="1156" spans="1:20">
      <c r="A1156" s="630">
        <v>6152140</v>
      </c>
      <c r="B1156" s="628"/>
      <c r="C1156" s="623"/>
      <c r="D1156" s="623"/>
      <c r="E1156" s="627" t="s">
        <v>1138</v>
      </c>
      <c r="F1156" s="631" t="s">
        <v>2002</v>
      </c>
      <c r="G1156" s="661">
        <v>615</v>
      </c>
      <c r="H1156" s="631">
        <v>2140</v>
      </c>
      <c r="I1156" s="618"/>
      <c r="J1156" s="619" t="s">
        <v>1138</v>
      </c>
      <c r="K1156" s="618"/>
      <c r="L1156" s="619">
        <v>126</v>
      </c>
      <c r="M1156" s="620">
        <v>117</v>
      </c>
      <c r="N1156" s="619"/>
      <c r="O1156" s="619">
        <v>13</v>
      </c>
      <c r="P1156" s="619" t="s">
        <v>1098</v>
      </c>
      <c r="Q1156" s="662" t="s">
        <v>1545</v>
      </c>
      <c r="R1156" s="618"/>
      <c r="S1156" s="621" t="s">
        <v>1981</v>
      </c>
      <c r="T1156" s="619" t="s">
        <v>1041</v>
      </c>
    </row>
    <row r="1157" spans="1:20">
      <c r="A1157" s="630">
        <v>6102140</v>
      </c>
      <c r="B1157" s="628"/>
      <c r="C1157" s="623"/>
      <c r="D1157" s="623"/>
      <c r="E1157" s="627" t="s">
        <v>1140</v>
      </c>
      <c r="F1157" s="631" t="s">
        <v>2003</v>
      </c>
      <c r="G1157" s="661">
        <v>610</v>
      </c>
      <c r="H1157" s="633">
        <v>2140</v>
      </c>
      <c r="I1157" s="618"/>
      <c r="J1157" s="619" t="s">
        <v>1140</v>
      </c>
      <c r="K1157" s="618"/>
      <c r="L1157" s="619">
        <v>122</v>
      </c>
      <c r="M1157" s="620">
        <v>113</v>
      </c>
      <c r="N1157" s="619"/>
      <c r="O1157" s="619">
        <v>13</v>
      </c>
      <c r="P1157" s="619" t="s">
        <v>1098</v>
      </c>
      <c r="Q1157" s="662" t="s">
        <v>1545</v>
      </c>
      <c r="R1157" s="618"/>
      <c r="S1157" s="621" t="s">
        <v>1981</v>
      </c>
      <c r="T1157" s="619" t="s">
        <v>39</v>
      </c>
    </row>
    <row r="1158" spans="1:20">
      <c r="A1158" s="630">
        <v>6002140</v>
      </c>
      <c r="B1158" s="628"/>
      <c r="C1158" s="623"/>
      <c r="D1158" s="623"/>
      <c r="E1158" s="627" t="s">
        <v>1869</v>
      </c>
      <c r="F1158" s="631" t="s">
        <v>2004</v>
      </c>
      <c r="G1158" s="661">
        <v>600</v>
      </c>
      <c r="H1158" s="633">
        <v>2140</v>
      </c>
      <c r="I1158" s="618"/>
      <c r="J1158" s="619" t="s">
        <v>1869</v>
      </c>
      <c r="K1158" s="618"/>
      <c r="L1158" s="619">
        <v>126</v>
      </c>
      <c r="M1158" s="620">
        <v>117</v>
      </c>
      <c r="N1158" s="619"/>
      <c r="O1158" s="619">
        <v>13</v>
      </c>
      <c r="P1158" s="619" t="s">
        <v>1098</v>
      </c>
      <c r="Q1158" s="662" t="s">
        <v>1545</v>
      </c>
      <c r="R1158" s="618"/>
      <c r="S1158" s="621" t="s">
        <v>1981</v>
      </c>
      <c r="T1158" s="619" t="s">
        <v>1048</v>
      </c>
    </row>
    <row r="1159" spans="1:20">
      <c r="A1159" s="622"/>
      <c r="B1159" s="628"/>
      <c r="C1159" s="623"/>
      <c r="D1159" s="623" t="s">
        <v>851</v>
      </c>
      <c r="E1159" s="627" t="s">
        <v>1050</v>
      </c>
      <c r="F1159" s="626"/>
      <c r="G1159" s="623"/>
      <c r="H1159" s="627"/>
      <c r="I1159" s="618"/>
      <c r="J1159" s="618"/>
      <c r="K1159" s="618"/>
      <c r="L1159" s="618"/>
      <c r="M1159" s="618"/>
      <c r="N1159" s="618"/>
      <c r="O1159" s="618"/>
      <c r="P1159" s="618"/>
      <c r="Q1159" s="662"/>
      <c r="R1159" s="618"/>
      <c r="S1159" s="621"/>
      <c r="T1159" s="618"/>
    </row>
    <row r="1160" spans="1:20">
      <c r="A1160" s="630">
        <v>7342140</v>
      </c>
      <c r="B1160" s="628"/>
      <c r="C1160" s="623"/>
      <c r="D1160" s="623"/>
      <c r="E1160" s="627" t="s">
        <v>1146</v>
      </c>
      <c r="F1160" s="631" t="s">
        <v>2005</v>
      </c>
      <c r="G1160" s="661">
        <v>734</v>
      </c>
      <c r="H1160" s="633">
        <v>2140</v>
      </c>
      <c r="I1160" s="618"/>
      <c r="J1160" s="619" t="s">
        <v>1146</v>
      </c>
      <c r="K1160" s="618"/>
      <c r="L1160" s="619">
        <v>131</v>
      </c>
      <c r="M1160" s="620">
        <v>122</v>
      </c>
      <c r="N1160" s="619"/>
      <c r="O1160" s="619">
        <v>13</v>
      </c>
      <c r="P1160" s="619" t="s">
        <v>760</v>
      </c>
      <c r="Q1160" s="662" t="s">
        <v>1545</v>
      </c>
      <c r="R1160" s="618"/>
      <c r="S1160" s="621" t="s">
        <v>1981</v>
      </c>
      <c r="T1160" s="619" t="s">
        <v>1051</v>
      </c>
    </row>
    <row r="1161" spans="1:20">
      <c r="A1161" s="630">
        <v>7352140</v>
      </c>
      <c r="B1161" s="628"/>
      <c r="C1161" s="623"/>
      <c r="D1161" s="623"/>
      <c r="E1161" s="627" t="s">
        <v>1148</v>
      </c>
      <c r="F1161" s="631" t="s">
        <v>2006</v>
      </c>
      <c r="G1161" s="661">
        <v>735</v>
      </c>
      <c r="H1161" s="633">
        <v>2140</v>
      </c>
      <c r="I1161" s="618"/>
      <c r="J1161" s="619" t="s">
        <v>1148</v>
      </c>
      <c r="K1161" s="618"/>
      <c r="L1161" s="619">
        <v>131</v>
      </c>
      <c r="M1161" s="620">
        <v>122</v>
      </c>
      <c r="N1161" s="619"/>
      <c r="O1161" s="619">
        <v>13</v>
      </c>
      <c r="P1161" s="619" t="s">
        <v>760</v>
      </c>
      <c r="Q1161" s="662" t="s">
        <v>1545</v>
      </c>
      <c r="R1161" s="618"/>
      <c r="S1161" s="621" t="s">
        <v>1981</v>
      </c>
      <c r="T1161" s="619" t="s">
        <v>1053</v>
      </c>
    </row>
    <row r="1162" spans="1:20">
      <c r="A1162" s="630">
        <v>7302140</v>
      </c>
      <c r="B1162" s="628"/>
      <c r="C1162" s="623"/>
      <c r="D1162" s="623"/>
      <c r="E1162" s="627" t="s">
        <v>1150</v>
      </c>
      <c r="F1162" s="631" t="s">
        <v>2007</v>
      </c>
      <c r="G1162" s="661">
        <v>730</v>
      </c>
      <c r="H1162" s="633">
        <v>2140</v>
      </c>
      <c r="I1162" s="618"/>
      <c r="J1162" s="619" t="s">
        <v>1150</v>
      </c>
      <c r="K1162" s="618"/>
      <c r="L1162" s="619">
        <v>131</v>
      </c>
      <c r="M1162" s="620">
        <v>122</v>
      </c>
      <c r="N1162" s="619"/>
      <c r="O1162" s="619">
        <v>13</v>
      </c>
      <c r="P1162" s="619" t="s">
        <v>760</v>
      </c>
      <c r="Q1162" s="662" t="s">
        <v>1545</v>
      </c>
      <c r="R1162" s="618"/>
      <c r="S1162" s="621" t="s">
        <v>1981</v>
      </c>
      <c r="T1162" s="619" t="s">
        <v>1055</v>
      </c>
    </row>
    <row r="1163" spans="1:20">
      <c r="A1163" s="630">
        <v>7002140</v>
      </c>
      <c r="B1163" s="628"/>
      <c r="C1163" s="623"/>
      <c r="D1163" s="623"/>
      <c r="E1163" s="627" t="s">
        <v>1152</v>
      </c>
      <c r="F1163" s="631" t="s">
        <v>2008</v>
      </c>
      <c r="G1163" s="661">
        <v>700</v>
      </c>
      <c r="H1163" s="633">
        <v>2140</v>
      </c>
      <c r="I1163" s="618"/>
      <c r="J1163" s="619" t="s">
        <v>1152</v>
      </c>
      <c r="K1163" s="618"/>
      <c r="L1163" s="619">
        <v>132</v>
      </c>
      <c r="M1163" s="620">
        <v>123</v>
      </c>
      <c r="N1163" s="619"/>
      <c r="O1163" s="619">
        <v>13</v>
      </c>
      <c r="P1163" s="619" t="s">
        <v>760</v>
      </c>
      <c r="Q1163" s="662" t="s">
        <v>1545</v>
      </c>
      <c r="R1163" s="618"/>
      <c r="S1163" s="621" t="s">
        <v>1981</v>
      </c>
      <c r="T1163" s="619" t="s">
        <v>1057</v>
      </c>
    </row>
    <row r="1164" spans="1:20">
      <c r="A1164" s="622"/>
      <c r="B1164" s="628"/>
      <c r="C1164" s="623"/>
      <c r="D1164" s="623" t="s">
        <v>854</v>
      </c>
      <c r="E1164" s="627" t="s">
        <v>256</v>
      </c>
      <c r="F1164" s="626"/>
      <c r="G1164" s="623"/>
      <c r="H1164" s="627"/>
      <c r="I1164" s="618"/>
      <c r="J1164" s="618"/>
      <c r="K1164" s="618"/>
      <c r="L1164" s="618"/>
      <c r="M1164" s="618"/>
      <c r="N1164" s="618"/>
      <c r="O1164" s="618"/>
      <c r="P1164" s="618"/>
      <c r="Q1164" s="662"/>
      <c r="R1164" s="618"/>
      <c r="S1164" s="621"/>
      <c r="T1164" s="618"/>
    </row>
    <row r="1165" spans="1:20">
      <c r="A1165" s="630">
        <v>8952140</v>
      </c>
      <c r="B1165" s="628"/>
      <c r="C1165" s="623"/>
      <c r="D1165" s="623"/>
      <c r="E1165" s="627" t="s">
        <v>1154</v>
      </c>
      <c r="F1165" s="631" t="s">
        <v>2009</v>
      </c>
      <c r="G1165" s="661">
        <v>895</v>
      </c>
      <c r="H1165" s="633">
        <v>2140</v>
      </c>
      <c r="I1165" s="618"/>
      <c r="J1165" s="619" t="s">
        <v>1154</v>
      </c>
      <c r="K1165" s="618"/>
      <c r="L1165" s="619">
        <v>139</v>
      </c>
      <c r="M1165" s="620">
        <v>129</v>
      </c>
      <c r="N1165" s="619"/>
      <c r="O1165" s="619">
        <v>13</v>
      </c>
      <c r="P1165" s="619" t="s">
        <v>1098</v>
      </c>
      <c r="Q1165" s="662" t="s">
        <v>1545</v>
      </c>
      <c r="R1165" s="618"/>
      <c r="S1165" s="621" t="s">
        <v>1981</v>
      </c>
      <c r="T1165" s="619" t="s">
        <v>1059</v>
      </c>
    </row>
    <row r="1166" spans="1:20">
      <c r="A1166" s="630">
        <v>8002140</v>
      </c>
      <c r="B1166" s="670"/>
      <c r="C1166" s="632"/>
      <c r="D1166" s="632"/>
      <c r="E1166" s="637" t="s">
        <v>1156</v>
      </c>
      <c r="F1166" s="631" t="s">
        <v>2010</v>
      </c>
      <c r="G1166" s="661">
        <v>800</v>
      </c>
      <c r="H1166" s="633">
        <v>2140</v>
      </c>
      <c r="I1166" s="618"/>
      <c r="J1166" s="619" t="s">
        <v>1156</v>
      </c>
      <c r="K1166" s="618"/>
      <c r="L1166" s="619">
        <v>139</v>
      </c>
      <c r="M1166" s="620">
        <v>129</v>
      </c>
      <c r="N1166" s="619"/>
      <c r="O1166" s="619">
        <v>13</v>
      </c>
      <c r="P1166" s="619" t="s">
        <v>1098</v>
      </c>
      <c r="Q1166" s="662" t="s">
        <v>1545</v>
      </c>
      <c r="R1166" s="618"/>
      <c r="S1166" s="621" t="s">
        <v>1981</v>
      </c>
      <c r="T1166" s="619" t="s">
        <v>1061</v>
      </c>
    </row>
    <row r="1167" spans="1:20">
      <c r="A1167" s="622"/>
      <c r="B1167" s="628"/>
      <c r="C1167" s="623"/>
      <c r="D1167" s="623" t="s">
        <v>857</v>
      </c>
      <c r="E1167" s="627" t="s">
        <v>1063</v>
      </c>
      <c r="F1167" s="626"/>
      <c r="G1167" s="623"/>
      <c r="H1167" s="627"/>
      <c r="I1167" s="618"/>
      <c r="J1167" s="618"/>
      <c r="K1167" s="618"/>
      <c r="L1167" s="618"/>
      <c r="M1167" s="618"/>
      <c r="N1167" s="618"/>
      <c r="O1167" s="618"/>
      <c r="P1167" s="618"/>
      <c r="Q1167" s="662"/>
      <c r="R1167" s="618"/>
      <c r="S1167" s="621"/>
      <c r="T1167" s="618"/>
    </row>
    <row r="1168" spans="1:20">
      <c r="A1168" s="630">
        <v>2102140</v>
      </c>
      <c r="B1168" s="628"/>
      <c r="C1168" s="623"/>
      <c r="D1168" s="623"/>
      <c r="E1168" s="627" t="s">
        <v>1158</v>
      </c>
      <c r="F1168" s="631" t="s">
        <v>2011</v>
      </c>
      <c r="G1168" s="661">
        <v>210</v>
      </c>
      <c r="H1168" s="633">
        <v>2140</v>
      </c>
      <c r="I1168" s="618"/>
      <c r="J1168" s="619" t="s">
        <v>1158</v>
      </c>
      <c r="K1168" s="618"/>
      <c r="L1168" s="619">
        <v>89</v>
      </c>
      <c r="M1168" s="620">
        <v>84</v>
      </c>
      <c r="N1168" s="619"/>
      <c r="O1168" s="619">
        <v>13</v>
      </c>
      <c r="P1168" s="619" t="s">
        <v>1098</v>
      </c>
      <c r="Q1168" s="662" t="s">
        <v>1545</v>
      </c>
      <c r="R1168" s="618"/>
      <c r="S1168" s="621" t="s">
        <v>1981</v>
      </c>
      <c r="T1168" s="619" t="s">
        <v>1064</v>
      </c>
    </row>
    <row r="1169" spans="1:20">
      <c r="A1169" s="630">
        <v>2202140</v>
      </c>
      <c r="B1169" s="628"/>
      <c r="C1169" s="623"/>
      <c r="D1169" s="623"/>
      <c r="E1169" s="627" t="s">
        <v>1160</v>
      </c>
      <c r="F1169" s="631" t="s">
        <v>2012</v>
      </c>
      <c r="G1169" s="661">
        <v>220</v>
      </c>
      <c r="H1169" s="633">
        <v>2140</v>
      </c>
      <c r="I1169" s="618"/>
      <c r="J1169" s="619" t="s">
        <v>1160</v>
      </c>
      <c r="K1169" s="618"/>
      <c r="L1169" s="619">
        <v>90</v>
      </c>
      <c r="M1169" s="620">
        <v>85</v>
      </c>
      <c r="N1169" s="619"/>
      <c r="O1169" s="619">
        <v>13</v>
      </c>
      <c r="P1169" s="619" t="s">
        <v>1098</v>
      </c>
      <c r="Q1169" s="662" t="s">
        <v>1545</v>
      </c>
      <c r="R1169" s="618"/>
      <c r="S1169" s="621" t="s">
        <v>1981</v>
      </c>
      <c r="T1169" s="619" t="s">
        <v>1066</v>
      </c>
    </row>
    <row r="1170" spans="1:20">
      <c r="A1170" s="630">
        <v>2252140</v>
      </c>
      <c r="B1170" s="628"/>
      <c r="C1170" s="623"/>
      <c r="D1170" s="623"/>
      <c r="E1170" s="627" t="s">
        <v>1162</v>
      </c>
      <c r="F1170" s="631" t="s">
        <v>2013</v>
      </c>
      <c r="G1170" s="661">
        <v>225</v>
      </c>
      <c r="H1170" s="633">
        <v>2140</v>
      </c>
      <c r="I1170" s="618"/>
      <c r="J1170" s="619" t="s">
        <v>1162</v>
      </c>
      <c r="K1170" s="618"/>
      <c r="L1170" s="619">
        <v>91</v>
      </c>
      <c r="M1170" s="620">
        <v>86</v>
      </c>
      <c r="N1170" s="619"/>
      <c r="O1170" s="619">
        <v>13</v>
      </c>
      <c r="P1170" s="619" t="s">
        <v>1098</v>
      </c>
      <c r="Q1170" s="662" t="s">
        <v>1545</v>
      </c>
      <c r="R1170" s="618"/>
      <c r="S1170" s="621" t="s">
        <v>1981</v>
      </c>
      <c r="T1170" s="619" t="s">
        <v>23</v>
      </c>
    </row>
    <row r="1171" spans="1:20">
      <c r="A1171" s="622"/>
      <c r="B1171" s="628"/>
      <c r="C1171" s="623"/>
      <c r="D1171" s="623"/>
      <c r="E1171" s="627" t="s">
        <v>1164</v>
      </c>
      <c r="F1171" s="626"/>
      <c r="G1171" s="623"/>
      <c r="H1171" s="627"/>
      <c r="I1171" s="618"/>
      <c r="J1171" s="618"/>
      <c r="K1171" s="618"/>
      <c r="L1171" s="618"/>
      <c r="M1171" s="618"/>
      <c r="N1171" s="618"/>
      <c r="O1171" s="618"/>
      <c r="P1171" s="618"/>
      <c r="Q1171" s="662"/>
      <c r="R1171" s="618"/>
      <c r="S1171" s="621"/>
      <c r="T1171" s="618"/>
    </row>
    <row r="1172" spans="1:20">
      <c r="A1172" s="630">
        <v>2312140</v>
      </c>
      <c r="B1172" s="628"/>
      <c r="C1172" s="623"/>
      <c r="D1172" s="623"/>
      <c r="E1172" s="627" t="s">
        <v>1165</v>
      </c>
      <c r="F1172" s="631" t="s">
        <v>2014</v>
      </c>
      <c r="G1172" s="661">
        <v>231</v>
      </c>
      <c r="H1172" s="633">
        <v>2140</v>
      </c>
      <c r="I1172" s="618"/>
      <c r="J1172" s="619" t="s">
        <v>1165</v>
      </c>
      <c r="K1172" s="618"/>
      <c r="L1172" s="619">
        <v>92</v>
      </c>
      <c r="M1172" s="620">
        <v>87</v>
      </c>
      <c r="N1172" s="619"/>
      <c r="O1172" s="619">
        <v>13</v>
      </c>
      <c r="P1172" s="619" t="s">
        <v>1098</v>
      </c>
      <c r="Q1172" s="662" t="s">
        <v>1545</v>
      </c>
      <c r="R1172" s="618"/>
      <c r="S1172" s="621" t="s">
        <v>1981</v>
      </c>
      <c r="T1172" s="619" t="s">
        <v>1072</v>
      </c>
    </row>
    <row r="1173" spans="1:20">
      <c r="A1173" s="630">
        <v>2332140</v>
      </c>
      <c r="B1173" s="628"/>
      <c r="C1173" s="623"/>
      <c r="D1173" s="623"/>
      <c r="E1173" s="627" t="s">
        <v>1167</v>
      </c>
      <c r="F1173" s="631" t="s">
        <v>2015</v>
      </c>
      <c r="G1173" s="661">
        <v>233</v>
      </c>
      <c r="H1173" s="633">
        <v>2140</v>
      </c>
      <c r="I1173" s="618"/>
      <c r="J1173" s="619" t="s">
        <v>1167</v>
      </c>
      <c r="K1173" s="618"/>
      <c r="L1173" s="619">
        <v>92</v>
      </c>
      <c r="M1173" s="620">
        <v>87</v>
      </c>
      <c r="N1173" s="619"/>
      <c r="O1173" s="619">
        <v>13</v>
      </c>
      <c r="P1173" s="619" t="s">
        <v>1098</v>
      </c>
      <c r="Q1173" s="662" t="s">
        <v>1545</v>
      </c>
      <c r="R1173" s="618"/>
      <c r="S1173" s="621" t="s">
        <v>1981</v>
      </c>
      <c r="T1173" s="619" t="s">
        <v>1169</v>
      </c>
    </row>
    <row r="1174" spans="1:20">
      <c r="A1174" s="630">
        <v>2392140</v>
      </c>
      <c r="B1174" s="628"/>
      <c r="C1174" s="623"/>
      <c r="D1174" s="623"/>
      <c r="E1174" s="627" t="s">
        <v>1170</v>
      </c>
      <c r="F1174" s="631" t="s">
        <v>2016</v>
      </c>
      <c r="G1174" s="661">
        <v>239</v>
      </c>
      <c r="H1174" s="633">
        <v>2140</v>
      </c>
      <c r="I1174" s="618"/>
      <c r="J1174" s="619" t="s">
        <v>1170</v>
      </c>
      <c r="K1174" s="618"/>
      <c r="L1174" s="619">
        <v>92</v>
      </c>
      <c r="M1174" s="620">
        <v>87</v>
      </c>
      <c r="N1174" s="619"/>
      <c r="O1174" s="619">
        <v>13</v>
      </c>
      <c r="P1174" s="619" t="s">
        <v>1098</v>
      </c>
      <c r="Q1174" s="662" t="s">
        <v>1545</v>
      </c>
      <c r="R1174" s="618"/>
      <c r="S1174" s="621" t="s">
        <v>1981</v>
      </c>
      <c r="T1174" s="619" t="s">
        <v>1078</v>
      </c>
    </row>
    <row r="1175" spans="1:20">
      <c r="A1175" s="630">
        <v>2502140</v>
      </c>
      <c r="B1175" s="628"/>
      <c r="C1175" s="623"/>
      <c r="D1175" s="623"/>
      <c r="E1175" s="627" t="s">
        <v>1172</v>
      </c>
      <c r="F1175" s="631" t="s">
        <v>2017</v>
      </c>
      <c r="G1175" s="661">
        <v>250</v>
      </c>
      <c r="H1175" s="633">
        <v>2140</v>
      </c>
      <c r="I1175" s="618"/>
      <c r="J1175" s="619" t="s">
        <v>1172</v>
      </c>
      <c r="K1175" s="618"/>
      <c r="L1175" s="619">
        <v>93</v>
      </c>
      <c r="M1175" s="620">
        <v>88</v>
      </c>
      <c r="N1175" s="619"/>
      <c r="O1175" s="619">
        <v>13</v>
      </c>
      <c r="P1175" s="619" t="s">
        <v>1098</v>
      </c>
      <c r="Q1175" s="662" t="s">
        <v>1545</v>
      </c>
      <c r="R1175" s="618"/>
      <c r="S1175" s="621" t="s">
        <v>1981</v>
      </c>
      <c r="T1175" s="619" t="s">
        <v>1079</v>
      </c>
    </row>
    <row r="1176" spans="1:20">
      <c r="A1176" s="630">
        <v>2602140</v>
      </c>
      <c r="B1176" s="628"/>
      <c r="C1176" s="623"/>
      <c r="D1176" s="623"/>
      <c r="E1176" s="627" t="s">
        <v>1174</v>
      </c>
      <c r="F1176" s="631" t="s">
        <v>2018</v>
      </c>
      <c r="G1176" s="661">
        <v>260</v>
      </c>
      <c r="H1176" s="633">
        <v>2140</v>
      </c>
      <c r="I1176" s="618"/>
      <c r="J1176" s="619" t="s">
        <v>1174</v>
      </c>
      <c r="K1176" s="618"/>
      <c r="L1176" s="619">
        <v>95</v>
      </c>
      <c r="M1176" s="620">
        <v>90</v>
      </c>
      <c r="N1176" s="619"/>
      <c r="O1176" s="619">
        <v>13</v>
      </c>
      <c r="P1176" s="619" t="s">
        <v>1098</v>
      </c>
      <c r="Q1176" s="662" t="s">
        <v>1545</v>
      </c>
      <c r="R1176" s="618"/>
      <c r="S1176" s="621" t="s">
        <v>1981</v>
      </c>
      <c r="T1176" s="619" t="s">
        <v>1081</v>
      </c>
    </row>
    <row r="1177" spans="1:20">
      <c r="A1177" s="630">
        <v>2702140</v>
      </c>
      <c r="B1177" s="628"/>
      <c r="C1177" s="623"/>
      <c r="D1177" s="623"/>
      <c r="E1177" s="627" t="s">
        <v>1176</v>
      </c>
      <c r="F1177" s="631" t="s">
        <v>2019</v>
      </c>
      <c r="G1177" s="661">
        <v>270</v>
      </c>
      <c r="H1177" s="633">
        <v>2140</v>
      </c>
      <c r="I1177" s="618"/>
      <c r="J1177" s="619" t="s">
        <v>1176</v>
      </c>
      <c r="K1177" s="618"/>
      <c r="L1177" s="619">
        <v>94</v>
      </c>
      <c r="M1177" s="620">
        <v>89</v>
      </c>
      <c r="N1177" s="619"/>
      <c r="O1177" s="619">
        <v>13</v>
      </c>
      <c r="P1177" s="619" t="s">
        <v>1098</v>
      </c>
      <c r="Q1177" s="662" t="s">
        <v>1545</v>
      </c>
      <c r="R1177" s="618"/>
      <c r="S1177" s="621" t="s">
        <v>1981</v>
      </c>
      <c r="T1177" s="619" t="s">
        <v>1083</v>
      </c>
    </row>
    <row r="1178" spans="1:20">
      <c r="A1178" s="630">
        <v>2812140</v>
      </c>
      <c r="B1178" s="628"/>
      <c r="C1178" s="623"/>
      <c r="D1178" s="623"/>
      <c r="E1178" s="627" t="s">
        <v>1178</v>
      </c>
      <c r="F1178" s="631" t="s">
        <v>2020</v>
      </c>
      <c r="G1178" s="661">
        <v>281</v>
      </c>
      <c r="H1178" s="633">
        <v>2140</v>
      </c>
      <c r="I1178" s="618"/>
      <c r="J1178" s="619" t="s">
        <v>1178</v>
      </c>
      <c r="K1178" s="618"/>
      <c r="L1178" s="619">
        <v>95</v>
      </c>
      <c r="M1178" s="620">
        <v>90</v>
      </c>
      <c r="N1178" s="619"/>
      <c r="O1178" s="619">
        <v>13</v>
      </c>
      <c r="P1178" s="619" t="s">
        <v>1098</v>
      </c>
      <c r="Q1178" s="662" t="s">
        <v>1545</v>
      </c>
      <c r="R1178" s="618"/>
      <c r="S1178" s="621" t="s">
        <v>1981</v>
      </c>
      <c r="T1178" s="619" t="s">
        <v>1085</v>
      </c>
    </row>
    <row r="1179" spans="1:20">
      <c r="A1179" s="630">
        <v>2822140</v>
      </c>
      <c r="B1179" s="628"/>
      <c r="C1179" s="623"/>
      <c r="D1179" s="623"/>
      <c r="E1179" s="627" t="s">
        <v>1180</v>
      </c>
      <c r="F1179" s="631" t="s">
        <v>2021</v>
      </c>
      <c r="G1179" s="661">
        <v>282</v>
      </c>
      <c r="H1179" s="633">
        <v>2140</v>
      </c>
      <c r="I1179" s="618"/>
      <c r="J1179" s="619" t="s">
        <v>1180</v>
      </c>
      <c r="K1179" s="618"/>
      <c r="L1179" s="619">
        <v>95</v>
      </c>
      <c r="M1179" s="620">
        <v>90</v>
      </c>
      <c r="N1179" s="619"/>
      <c r="O1179" s="619">
        <v>13</v>
      </c>
      <c r="P1179" s="619" t="s">
        <v>1098</v>
      </c>
      <c r="Q1179" s="662" t="s">
        <v>1545</v>
      </c>
      <c r="R1179" s="618"/>
      <c r="S1179" s="621" t="s">
        <v>1981</v>
      </c>
      <c r="T1179" s="619" t="s">
        <v>1087</v>
      </c>
    </row>
    <row r="1180" spans="1:20">
      <c r="A1180" s="630">
        <v>2902140</v>
      </c>
      <c r="B1180" s="628"/>
      <c r="C1180" s="623"/>
      <c r="D1180" s="623"/>
      <c r="E1180" s="627" t="s">
        <v>1182</v>
      </c>
      <c r="F1180" s="631" t="s">
        <v>2022</v>
      </c>
      <c r="G1180" s="661">
        <v>290</v>
      </c>
      <c r="H1180" s="633">
        <v>2140</v>
      </c>
      <c r="I1180" s="618"/>
      <c r="J1180" s="619" t="s">
        <v>1182</v>
      </c>
      <c r="K1180" s="618"/>
      <c r="L1180" s="619">
        <v>95</v>
      </c>
      <c r="M1180" s="620">
        <v>90</v>
      </c>
      <c r="N1180" s="619"/>
      <c r="O1180" s="619">
        <v>13</v>
      </c>
      <c r="P1180" s="619" t="s">
        <v>1098</v>
      </c>
      <c r="Q1180" s="662" t="s">
        <v>1545</v>
      </c>
      <c r="R1180" s="618"/>
      <c r="S1180" s="621" t="s">
        <v>1981</v>
      </c>
      <c r="T1180" s="619" t="s">
        <v>1090</v>
      </c>
    </row>
    <row r="1181" spans="1:20">
      <c r="A1181" s="622"/>
      <c r="B1181" s="628"/>
      <c r="C1181" s="629">
        <v>51</v>
      </c>
      <c r="D1181" s="784" t="s">
        <v>2023</v>
      </c>
      <c r="E1181" s="775"/>
      <c r="F1181" s="626"/>
      <c r="G1181" s="623"/>
      <c r="H1181" s="627"/>
      <c r="I1181" s="618"/>
      <c r="J1181" s="618"/>
      <c r="K1181" s="618"/>
      <c r="L1181" s="618"/>
      <c r="M1181" s="618"/>
      <c r="N1181" s="618"/>
      <c r="O1181" s="618"/>
      <c r="P1181" s="618"/>
      <c r="Q1181" s="662"/>
      <c r="R1181" s="618"/>
      <c r="S1181" s="621"/>
      <c r="T1181" s="618"/>
    </row>
    <row r="1182" spans="1:20">
      <c r="A1182" s="622"/>
      <c r="B1182" s="628"/>
      <c r="C1182" s="623"/>
      <c r="D1182" s="784" t="s">
        <v>2024</v>
      </c>
      <c r="E1182" s="775"/>
      <c r="F1182" s="626"/>
      <c r="G1182" s="623"/>
      <c r="H1182" s="627"/>
      <c r="I1182" s="618"/>
      <c r="J1182" s="618"/>
      <c r="K1182" s="618"/>
      <c r="L1182" s="618"/>
      <c r="M1182" s="618"/>
      <c r="N1182" s="618"/>
      <c r="O1182" s="618"/>
      <c r="P1182" s="618"/>
      <c r="Q1182" s="662"/>
      <c r="R1182" s="618"/>
      <c r="S1182" s="621"/>
      <c r="T1182" s="618"/>
    </row>
    <row r="1183" spans="1:20">
      <c r="A1183" s="630">
        <v>1112151</v>
      </c>
      <c r="B1183" s="628"/>
      <c r="C1183" s="623"/>
      <c r="D1183" s="623"/>
      <c r="E1183" s="627" t="s">
        <v>1844</v>
      </c>
      <c r="F1183" s="631" t="s">
        <v>2025</v>
      </c>
      <c r="G1183" s="661">
        <v>111</v>
      </c>
      <c r="H1183" s="633">
        <v>2151</v>
      </c>
      <c r="I1183" s="618"/>
      <c r="J1183" s="619" t="s">
        <v>1844</v>
      </c>
      <c r="K1183" s="618"/>
      <c r="L1183" s="619">
        <v>81</v>
      </c>
      <c r="M1183" s="620">
        <v>76</v>
      </c>
      <c r="N1183" s="619"/>
      <c r="O1183" s="619">
        <v>13</v>
      </c>
      <c r="P1183" s="619" t="s">
        <v>1098</v>
      </c>
      <c r="Q1183" s="662" t="s">
        <v>1002</v>
      </c>
      <c r="R1183" s="618"/>
      <c r="S1183" s="621" t="s">
        <v>2026</v>
      </c>
      <c r="T1183" s="619" t="s">
        <v>1847</v>
      </c>
    </row>
    <row r="1184" spans="1:20">
      <c r="A1184" s="630">
        <v>1132152</v>
      </c>
      <c r="B1184" s="628"/>
      <c r="C1184" s="623"/>
      <c r="D1184" s="623"/>
      <c r="E1184" s="627" t="s">
        <v>2027</v>
      </c>
      <c r="F1184" s="631" t="s">
        <v>2028</v>
      </c>
      <c r="G1184" s="661">
        <v>113</v>
      </c>
      <c r="H1184" s="633">
        <v>2152</v>
      </c>
      <c r="I1184" s="618"/>
      <c r="J1184" s="619" t="s">
        <v>2027</v>
      </c>
      <c r="K1184" s="618"/>
      <c r="L1184" s="619">
        <v>83</v>
      </c>
      <c r="M1184" s="620">
        <v>78</v>
      </c>
      <c r="N1184" s="619"/>
      <c r="O1184" s="619">
        <v>13</v>
      </c>
      <c r="P1184" s="619" t="s">
        <v>1098</v>
      </c>
      <c r="Q1184" s="662" t="s">
        <v>1002</v>
      </c>
      <c r="R1184" s="618"/>
      <c r="S1184" s="621" t="s">
        <v>2026</v>
      </c>
      <c r="T1184" s="619" t="s">
        <v>2029</v>
      </c>
    </row>
    <row r="1185" spans="1:20">
      <c r="A1185" s="630">
        <v>1132153</v>
      </c>
      <c r="B1185" s="628"/>
      <c r="C1185" s="623"/>
      <c r="D1185" s="623"/>
      <c r="E1185" s="627" t="s">
        <v>2030</v>
      </c>
      <c r="F1185" s="631" t="s">
        <v>2031</v>
      </c>
      <c r="G1185" s="661">
        <v>113</v>
      </c>
      <c r="H1185" s="633">
        <v>2153</v>
      </c>
      <c r="I1185" s="618"/>
      <c r="J1185" s="619" t="s">
        <v>2030</v>
      </c>
      <c r="K1185" s="618"/>
      <c r="L1185" s="619">
        <v>83</v>
      </c>
      <c r="M1185" s="620">
        <v>78</v>
      </c>
      <c r="N1185" s="619"/>
      <c r="O1185" s="619">
        <v>13</v>
      </c>
      <c r="P1185" s="619" t="s">
        <v>1098</v>
      </c>
      <c r="Q1185" s="662" t="s">
        <v>1002</v>
      </c>
      <c r="R1185" s="618"/>
      <c r="S1185" s="621" t="s">
        <v>2026</v>
      </c>
      <c r="T1185" s="619" t="s">
        <v>2032</v>
      </c>
    </row>
    <row r="1186" spans="1:20">
      <c r="A1186" s="622"/>
      <c r="B1186" s="628"/>
      <c r="C1186" s="623"/>
      <c r="D1186" s="623"/>
      <c r="E1186" s="627" t="s">
        <v>2033</v>
      </c>
      <c r="F1186" s="626"/>
      <c r="G1186" s="623"/>
      <c r="H1186" s="627"/>
      <c r="I1186" s="618"/>
      <c r="J1186" s="618"/>
      <c r="K1186" s="618"/>
      <c r="L1186" s="618"/>
      <c r="M1186" s="618"/>
      <c r="N1186" s="618"/>
      <c r="O1186" s="618"/>
      <c r="P1186" s="618"/>
      <c r="Q1186" s="662"/>
      <c r="R1186" s="618"/>
      <c r="S1186" s="621"/>
      <c r="T1186" s="618"/>
    </row>
    <row r="1187" spans="1:20">
      <c r="A1187" s="630">
        <v>1132150</v>
      </c>
      <c r="B1187" s="628"/>
      <c r="C1187" s="623"/>
      <c r="D1187" s="623"/>
      <c r="E1187" s="627" t="s">
        <v>2034</v>
      </c>
      <c r="F1187" s="631" t="s">
        <v>2035</v>
      </c>
      <c r="G1187" s="661">
        <v>113</v>
      </c>
      <c r="H1187" s="633">
        <v>2150</v>
      </c>
      <c r="I1187" s="618"/>
      <c r="J1187" s="619" t="s">
        <v>2034</v>
      </c>
      <c r="K1187" s="618"/>
      <c r="L1187" s="619">
        <v>83</v>
      </c>
      <c r="M1187" s="620">
        <v>78</v>
      </c>
      <c r="N1187" s="619"/>
      <c r="O1187" s="619">
        <v>13</v>
      </c>
      <c r="P1187" s="619" t="s">
        <v>1098</v>
      </c>
      <c r="Q1187" s="662" t="s">
        <v>1002</v>
      </c>
      <c r="R1187" s="618"/>
      <c r="S1187" s="621" t="s">
        <v>2026</v>
      </c>
      <c r="T1187" s="619" t="s">
        <v>2034</v>
      </c>
    </row>
    <row r="1188" spans="1:20">
      <c r="A1188" s="630">
        <v>1192154</v>
      </c>
      <c r="B1188" s="628"/>
      <c r="C1188" s="623"/>
      <c r="D1188" s="623"/>
      <c r="E1188" s="627" t="s">
        <v>2036</v>
      </c>
      <c r="F1188" s="631" t="s">
        <v>2037</v>
      </c>
      <c r="G1188" s="661">
        <v>119</v>
      </c>
      <c r="H1188" s="633">
        <v>2154</v>
      </c>
      <c r="I1188" s="618"/>
      <c r="J1188" s="619" t="s">
        <v>2036</v>
      </c>
      <c r="K1188" s="618"/>
      <c r="L1188" s="619">
        <v>86</v>
      </c>
      <c r="M1188" s="620">
        <v>81</v>
      </c>
      <c r="N1188" s="619"/>
      <c r="O1188" s="619">
        <v>13</v>
      </c>
      <c r="P1188" s="619" t="s">
        <v>1098</v>
      </c>
      <c r="Q1188" s="662" t="s">
        <v>1002</v>
      </c>
      <c r="R1188" s="618"/>
      <c r="S1188" s="621" t="s">
        <v>2026</v>
      </c>
      <c r="T1188" s="619" t="s">
        <v>2038</v>
      </c>
    </row>
    <row r="1189" spans="1:20">
      <c r="A1189" s="630">
        <v>1142150</v>
      </c>
      <c r="B1189" s="628"/>
      <c r="C1189" s="623"/>
      <c r="D1189" s="623"/>
      <c r="E1189" s="627" t="s">
        <v>2039</v>
      </c>
      <c r="F1189" s="631" t="s">
        <v>2040</v>
      </c>
      <c r="G1189" s="661">
        <v>114</v>
      </c>
      <c r="H1189" s="633">
        <v>2150</v>
      </c>
      <c r="I1189" s="618"/>
      <c r="J1189" s="619" t="s">
        <v>2039</v>
      </c>
      <c r="K1189" s="618"/>
      <c r="L1189" s="619">
        <v>84</v>
      </c>
      <c r="M1189" s="620">
        <v>79</v>
      </c>
      <c r="N1189" s="619"/>
      <c r="O1189" s="619">
        <v>13</v>
      </c>
      <c r="P1189" s="619" t="s">
        <v>1098</v>
      </c>
      <c r="Q1189" s="662" t="s">
        <v>1002</v>
      </c>
      <c r="R1189" s="618"/>
      <c r="S1189" s="621" t="s">
        <v>2026</v>
      </c>
      <c r="T1189" s="619" t="s">
        <v>1853</v>
      </c>
    </row>
    <row r="1190" spans="1:20">
      <c r="A1190" s="630">
        <v>1002150</v>
      </c>
      <c r="B1190" s="628"/>
      <c r="C1190" s="623"/>
      <c r="D1190" s="623"/>
      <c r="E1190" s="627" t="s">
        <v>2041</v>
      </c>
      <c r="F1190" s="631" t="s">
        <v>2042</v>
      </c>
      <c r="G1190" s="661">
        <v>100</v>
      </c>
      <c r="H1190" s="633">
        <v>2150</v>
      </c>
      <c r="I1190" s="618"/>
      <c r="J1190" s="619" t="s">
        <v>2041</v>
      </c>
      <c r="K1190" s="618"/>
      <c r="L1190" s="619">
        <v>86</v>
      </c>
      <c r="M1190" s="620">
        <v>81</v>
      </c>
      <c r="N1190" s="619"/>
      <c r="O1190" s="619">
        <v>13</v>
      </c>
      <c r="P1190" s="619" t="s">
        <v>1098</v>
      </c>
      <c r="Q1190" s="662" t="s">
        <v>1002</v>
      </c>
      <c r="R1190" s="618"/>
      <c r="S1190" s="621" t="s">
        <v>2026</v>
      </c>
      <c r="T1190" s="619" t="s">
        <v>2043</v>
      </c>
    </row>
    <row r="1191" spans="1:20">
      <c r="A1191" s="630">
        <v>1402150</v>
      </c>
      <c r="B1191" s="628"/>
      <c r="C1191" s="623"/>
      <c r="D1191" s="623"/>
      <c r="E1191" s="627" t="s">
        <v>1947</v>
      </c>
      <c r="F1191" s="631" t="s">
        <v>2044</v>
      </c>
      <c r="G1191" s="661">
        <v>140</v>
      </c>
      <c r="H1191" s="633">
        <v>2150</v>
      </c>
      <c r="I1191" s="618"/>
      <c r="J1191" s="619" t="s">
        <v>1947</v>
      </c>
      <c r="K1191" s="618"/>
      <c r="L1191" s="619">
        <v>86</v>
      </c>
      <c r="M1191" s="620">
        <v>81</v>
      </c>
      <c r="N1191" s="619"/>
      <c r="O1191" s="619">
        <v>13</v>
      </c>
      <c r="P1191" s="619" t="s">
        <v>1098</v>
      </c>
      <c r="Q1191" s="662" t="s">
        <v>1002</v>
      </c>
      <c r="R1191" s="618"/>
      <c r="S1191" s="621" t="s">
        <v>2026</v>
      </c>
      <c r="T1191" s="619" t="s">
        <v>1017</v>
      </c>
    </row>
    <row r="1192" spans="1:20">
      <c r="A1192" s="630">
        <v>3002150</v>
      </c>
      <c r="B1192" s="628"/>
      <c r="C1192" s="623"/>
      <c r="D1192" s="623" t="s">
        <v>775</v>
      </c>
      <c r="E1192" s="627" t="s">
        <v>1112</v>
      </c>
      <c r="F1192" s="631" t="s">
        <v>2045</v>
      </c>
      <c r="G1192" s="661">
        <v>300</v>
      </c>
      <c r="H1192" s="633">
        <v>2150</v>
      </c>
      <c r="I1192" s="618"/>
      <c r="J1192" s="619" t="s">
        <v>1112</v>
      </c>
      <c r="K1192" s="618"/>
      <c r="L1192" s="619">
        <v>101</v>
      </c>
      <c r="M1192" s="620">
        <v>96</v>
      </c>
      <c r="N1192" s="619"/>
      <c r="O1192" s="619">
        <v>13</v>
      </c>
      <c r="P1192" s="619" t="s">
        <v>1098</v>
      </c>
      <c r="Q1192" s="662"/>
      <c r="R1192" s="618"/>
      <c r="S1192" s="621" t="s">
        <v>2026</v>
      </c>
      <c r="T1192" s="619" t="s">
        <v>1112</v>
      </c>
    </row>
    <row r="1193" spans="1:20">
      <c r="A1193" s="622"/>
      <c r="B1193" s="628"/>
      <c r="C1193" s="623"/>
      <c r="D1193" s="623" t="s">
        <v>799</v>
      </c>
      <c r="E1193" s="627" t="s">
        <v>250</v>
      </c>
      <c r="F1193" s="626"/>
      <c r="G1193" s="623"/>
      <c r="H1193" s="627"/>
      <c r="I1193" s="618"/>
      <c r="J1193" s="618"/>
      <c r="K1193" s="618"/>
      <c r="L1193" s="618"/>
      <c r="M1193" s="618"/>
      <c r="N1193" s="618"/>
      <c r="O1193" s="618"/>
      <c r="P1193" s="618"/>
      <c r="Q1193" s="662"/>
      <c r="R1193" s="618"/>
      <c r="S1193" s="621"/>
      <c r="T1193" s="618"/>
    </row>
    <row r="1194" spans="1:20">
      <c r="A1194" s="630">
        <v>4302150</v>
      </c>
      <c r="B1194" s="628"/>
      <c r="C1194" s="623"/>
      <c r="D1194" s="623"/>
      <c r="E1194" s="627" t="s">
        <v>1114</v>
      </c>
      <c r="F1194" s="631" t="s">
        <v>2046</v>
      </c>
      <c r="G1194" s="661">
        <v>430</v>
      </c>
      <c r="H1194" s="633">
        <v>2150</v>
      </c>
      <c r="I1194" s="618"/>
      <c r="J1194" s="619" t="s">
        <v>1114</v>
      </c>
      <c r="K1194" s="618"/>
      <c r="L1194" s="619">
        <v>107</v>
      </c>
      <c r="M1194" s="620">
        <v>102</v>
      </c>
      <c r="N1194" s="619"/>
      <c r="O1194" s="619">
        <v>13</v>
      </c>
      <c r="P1194" s="619" t="s">
        <v>1098</v>
      </c>
      <c r="Q1194" s="662"/>
      <c r="R1194" s="618"/>
      <c r="S1194" s="621" t="s">
        <v>2026</v>
      </c>
      <c r="T1194" s="619" t="s">
        <v>1021</v>
      </c>
    </row>
    <row r="1195" spans="1:20">
      <c r="A1195" s="630">
        <v>4422150</v>
      </c>
      <c r="B1195" s="628"/>
      <c r="C1195" s="623"/>
      <c r="D1195" s="623"/>
      <c r="E1195" s="627" t="s">
        <v>1116</v>
      </c>
      <c r="F1195" s="631" t="s">
        <v>2047</v>
      </c>
      <c r="G1195" s="661">
        <v>442</v>
      </c>
      <c r="H1195" s="633">
        <v>2150</v>
      </c>
      <c r="I1195" s="618"/>
      <c r="J1195" s="619" t="s">
        <v>1116</v>
      </c>
      <c r="K1195" s="618"/>
      <c r="L1195" s="619">
        <v>106</v>
      </c>
      <c r="M1195" s="620">
        <v>101</v>
      </c>
      <c r="N1195" s="619"/>
      <c r="O1195" s="619">
        <v>13</v>
      </c>
      <c r="P1195" s="619" t="s">
        <v>1098</v>
      </c>
      <c r="Q1195" s="662"/>
      <c r="R1195" s="618"/>
      <c r="S1195" s="621" t="s">
        <v>2026</v>
      </c>
      <c r="T1195" s="619" t="s">
        <v>1023</v>
      </c>
    </row>
    <row r="1196" spans="1:20">
      <c r="A1196" s="630">
        <v>4002150</v>
      </c>
      <c r="B1196" s="628"/>
      <c r="C1196" s="623"/>
      <c r="D1196" s="623"/>
      <c r="E1196" s="627" t="s">
        <v>1118</v>
      </c>
      <c r="F1196" s="631" t="s">
        <v>2048</v>
      </c>
      <c r="G1196" s="661">
        <v>400</v>
      </c>
      <c r="H1196" s="633">
        <v>2150</v>
      </c>
      <c r="I1196" s="618"/>
      <c r="J1196" s="619" t="s">
        <v>1118</v>
      </c>
      <c r="K1196" s="618"/>
      <c r="L1196" s="619">
        <v>108</v>
      </c>
      <c r="M1196" s="620">
        <v>103</v>
      </c>
      <c r="N1196" s="619"/>
      <c r="O1196" s="619">
        <v>13</v>
      </c>
      <c r="P1196" s="619" t="s">
        <v>1098</v>
      </c>
      <c r="Q1196" s="662"/>
      <c r="R1196" s="618"/>
      <c r="S1196" s="621" t="s">
        <v>2026</v>
      </c>
      <c r="T1196" s="619" t="s">
        <v>1025</v>
      </c>
    </row>
    <row r="1197" spans="1:20">
      <c r="A1197" s="622"/>
      <c r="B1197" s="628"/>
      <c r="C1197" s="623"/>
      <c r="D1197" s="623" t="s">
        <v>803</v>
      </c>
      <c r="E1197" s="627" t="s">
        <v>252</v>
      </c>
      <c r="F1197" s="626"/>
      <c r="G1197" s="623"/>
      <c r="H1197" s="627"/>
      <c r="I1197" s="618"/>
      <c r="J1197" s="618"/>
      <c r="K1197" s="618"/>
      <c r="L1197" s="618"/>
      <c r="M1197" s="618"/>
      <c r="N1197" s="618"/>
      <c r="O1197" s="618"/>
      <c r="P1197" s="618"/>
      <c r="Q1197" s="662"/>
      <c r="R1197" s="618"/>
      <c r="S1197" s="621"/>
      <c r="T1197" s="618"/>
    </row>
    <row r="1198" spans="1:20">
      <c r="A1198" s="630">
        <v>5822150</v>
      </c>
      <c r="B1198" s="628"/>
      <c r="C1198" s="623"/>
      <c r="D1198" s="623"/>
      <c r="E1198" s="627" t="s">
        <v>1863</v>
      </c>
      <c r="F1198" s="634" t="s">
        <v>2049</v>
      </c>
      <c r="G1198" s="629">
        <v>582</v>
      </c>
      <c r="H1198" s="635">
        <v>2150</v>
      </c>
      <c r="I1198" s="618"/>
      <c r="J1198" s="619" t="s">
        <v>1863</v>
      </c>
      <c r="K1198" s="618"/>
      <c r="L1198" s="619">
        <v>118</v>
      </c>
      <c r="M1198" s="620">
        <v>109</v>
      </c>
      <c r="N1198" s="619"/>
      <c r="O1198" s="619">
        <v>13</v>
      </c>
      <c r="P1198" s="619" t="s">
        <v>1098</v>
      </c>
      <c r="Q1198" s="662"/>
      <c r="R1198" s="618"/>
      <c r="S1198" s="621" t="s">
        <v>2026</v>
      </c>
      <c r="T1198" s="619" t="s">
        <v>1037</v>
      </c>
    </row>
    <row r="1199" spans="1:20">
      <c r="A1199" s="630">
        <v>5002150</v>
      </c>
      <c r="B1199" s="628"/>
      <c r="C1199" s="623"/>
      <c r="D1199" s="623"/>
      <c r="E1199" s="627" t="s">
        <v>1865</v>
      </c>
      <c r="F1199" s="634" t="s">
        <v>2050</v>
      </c>
      <c r="G1199" s="629">
        <v>500</v>
      </c>
      <c r="H1199" s="635">
        <v>2150</v>
      </c>
      <c r="I1199" s="618"/>
      <c r="J1199" s="619" t="s">
        <v>1865</v>
      </c>
      <c r="K1199" s="618"/>
      <c r="L1199" s="619">
        <v>119</v>
      </c>
      <c r="M1199" s="620">
        <v>110</v>
      </c>
      <c r="N1199" s="619"/>
      <c r="O1199" s="619">
        <v>13</v>
      </c>
      <c r="P1199" s="619" t="s">
        <v>1098</v>
      </c>
      <c r="Q1199" s="662"/>
      <c r="R1199" s="618"/>
      <c r="S1199" s="621" t="s">
        <v>2026</v>
      </c>
      <c r="T1199" s="619" t="s">
        <v>252</v>
      </c>
    </row>
    <row r="1200" spans="1:20">
      <c r="A1200" s="622"/>
      <c r="B1200" s="628"/>
      <c r="C1200" s="623"/>
      <c r="D1200" s="623" t="s">
        <v>848</v>
      </c>
      <c r="E1200" s="627" t="s">
        <v>254</v>
      </c>
      <c r="F1200" s="626"/>
      <c r="G1200" s="623"/>
      <c r="H1200" s="627"/>
      <c r="I1200" s="618"/>
      <c r="J1200" s="618"/>
      <c r="K1200" s="618"/>
      <c r="L1200" s="618"/>
      <c r="M1200" s="618"/>
      <c r="N1200" s="618"/>
      <c r="O1200" s="618"/>
      <c r="P1200" s="618"/>
      <c r="Q1200" s="662"/>
      <c r="R1200" s="618"/>
      <c r="S1200" s="621"/>
      <c r="T1200" s="618"/>
    </row>
    <row r="1201" spans="1:20">
      <c r="A1201" s="630">
        <v>6152150</v>
      </c>
      <c r="B1201" s="628"/>
      <c r="C1201" s="623"/>
      <c r="D1201" s="623"/>
      <c r="E1201" s="627" t="s">
        <v>1138</v>
      </c>
      <c r="F1201" s="634" t="s">
        <v>2051</v>
      </c>
      <c r="G1201" s="629">
        <v>615</v>
      </c>
      <c r="H1201" s="635">
        <v>2150</v>
      </c>
      <c r="I1201" s="618"/>
      <c r="J1201" s="619" t="s">
        <v>1138</v>
      </c>
      <c r="K1201" s="618"/>
      <c r="L1201" s="619">
        <v>126</v>
      </c>
      <c r="M1201" s="620">
        <v>117</v>
      </c>
      <c r="N1201" s="619"/>
      <c r="O1201" s="619">
        <v>13</v>
      </c>
      <c r="P1201" s="619" t="s">
        <v>1098</v>
      </c>
      <c r="Q1201" s="662" t="s">
        <v>1043</v>
      </c>
      <c r="R1201" s="618"/>
      <c r="S1201" s="621" t="s">
        <v>2026</v>
      </c>
      <c r="T1201" s="619" t="s">
        <v>1041</v>
      </c>
    </row>
    <row r="1202" spans="1:20">
      <c r="A1202" s="630">
        <v>6102150</v>
      </c>
      <c r="B1202" s="628"/>
      <c r="C1202" s="623"/>
      <c r="D1202" s="623"/>
      <c r="E1202" s="627" t="s">
        <v>1140</v>
      </c>
      <c r="F1202" s="634" t="s">
        <v>2052</v>
      </c>
      <c r="G1202" s="629">
        <v>610</v>
      </c>
      <c r="H1202" s="635">
        <v>2150</v>
      </c>
      <c r="I1202" s="618"/>
      <c r="J1202" s="619" t="s">
        <v>1140</v>
      </c>
      <c r="K1202" s="618"/>
      <c r="L1202" s="619">
        <v>122</v>
      </c>
      <c r="M1202" s="620">
        <v>113</v>
      </c>
      <c r="N1202" s="619"/>
      <c r="O1202" s="619">
        <v>13</v>
      </c>
      <c r="P1202" s="619" t="s">
        <v>1098</v>
      </c>
      <c r="Q1202" s="662" t="s">
        <v>1043</v>
      </c>
      <c r="R1202" s="618"/>
      <c r="S1202" s="621" t="s">
        <v>2026</v>
      </c>
      <c r="T1202" s="619" t="s">
        <v>39</v>
      </c>
    </row>
    <row r="1203" spans="1:20">
      <c r="A1203" s="630">
        <v>6002150</v>
      </c>
      <c r="B1203" s="628"/>
      <c r="C1203" s="623"/>
      <c r="D1203" s="623"/>
      <c r="E1203" s="627" t="s">
        <v>1869</v>
      </c>
      <c r="F1203" s="634" t="s">
        <v>2053</v>
      </c>
      <c r="G1203" s="629">
        <v>600</v>
      </c>
      <c r="H1203" s="635">
        <v>2150</v>
      </c>
      <c r="I1203" s="618"/>
      <c r="J1203" s="619" t="s">
        <v>1869</v>
      </c>
      <c r="K1203" s="618"/>
      <c r="L1203" s="619">
        <v>126</v>
      </c>
      <c r="M1203" s="620">
        <v>117</v>
      </c>
      <c r="N1203" s="619"/>
      <c r="O1203" s="619">
        <v>13</v>
      </c>
      <c r="P1203" s="619" t="s">
        <v>1098</v>
      </c>
      <c r="Q1203" s="662"/>
      <c r="R1203" s="618"/>
      <c r="S1203" s="621" t="s">
        <v>2026</v>
      </c>
      <c r="T1203" s="619" t="s">
        <v>1048</v>
      </c>
    </row>
    <row r="1204" spans="1:20">
      <c r="A1204" s="622"/>
      <c r="B1204" s="628"/>
      <c r="C1204" s="623"/>
      <c r="D1204" s="623" t="s">
        <v>851</v>
      </c>
      <c r="E1204" s="627" t="s">
        <v>1050</v>
      </c>
      <c r="F1204" s="626"/>
      <c r="G1204" s="623"/>
      <c r="H1204" s="627"/>
      <c r="I1204" s="618"/>
      <c r="J1204" s="618"/>
      <c r="K1204" s="618"/>
      <c r="L1204" s="618"/>
      <c r="M1204" s="618"/>
      <c r="N1204" s="618"/>
      <c r="O1204" s="618"/>
      <c r="P1204" s="618"/>
      <c r="Q1204" s="662"/>
      <c r="R1204" s="618"/>
      <c r="S1204" s="621"/>
      <c r="T1204" s="618"/>
    </row>
    <row r="1205" spans="1:20">
      <c r="A1205" s="630">
        <v>7342150</v>
      </c>
      <c r="B1205" s="628"/>
      <c r="C1205" s="623"/>
      <c r="D1205" s="623"/>
      <c r="E1205" s="627" t="s">
        <v>1146</v>
      </c>
      <c r="F1205" s="634" t="s">
        <v>2054</v>
      </c>
      <c r="G1205" s="629">
        <v>734</v>
      </c>
      <c r="H1205" s="635">
        <v>2150</v>
      </c>
      <c r="I1205" s="618"/>
      <c r="J1205" s="619" t="s">
        <v>1146</v>
      </c>
      <c r="K1205" s="618"/>
      <c r="L1205" s="619">
        <v>131</v>
      </c>
      <c r="M1205" s="620">
        <v>122</v>
      </c>
      <c r="N1205" s="619"/>
      <c r="O1205" s="619">
        <v>13</v>
      </c>
      <c r="P1205" s="619" t="s">
        <v>760</v>
      </c>
      <c r="Q1205" s="662"/>
      <c r="R1205" s="618"/>
      <c r="S1205" s="621" t="s">
        <v>2026</v>
      </c>
      <c r="T1205" s="619" t="s">
        <v>1051</v>
      </c>
    </row>
    <row r="1206" spans="1:20">
      <c r="A1206" s="630">
        <v>7352150</v>
      </c>
      <c r="B1206" s="628"/>
      <c r="C1206" s="623"/>
      <c r="D1206" s="623"/>
      <c r="E1206" s="627" t="s">
        <v>1148</v>
      </c>
      <c r="F1206" s="634" t="s">
        <v>2055</v>
      </c>
      <c r="G1206" s="629">
        <v>735</v>
      </c>
      <c r="H1206" s="635">
        <v>2150</v>
      </c>
      <c r="I1206" s="618"/>
      <c r="J1206" s="619" t="s">
        <v>1148</v>
      </c>
      <c r="K1206" s="618"/>
      <c r="L1206" s="619">
        <v>131</v>
      </c>
      <c r="M1206" s="620">
        <v>122</v>
      </c>
      <c r="N1206" s="619"/>
      <c r="O1206" s="619">
        <v>13</v>
      </c>
      <c r="P1206" s="619" t="s">
        <v>760</v>
      </c>
      <c r="Q1206" s="662"/>
      <c r="R1206" s="618"/>
      <c r="S1206" s="621" t="s">
        <v>2026</v>
      </c>
      <c r="T1206" s="619" t="s">
        <v>1053</v>
      </c>
    </row>
    <row r="1207" spans="1:20">
      <c r="A1207" s="630">
        <v>7302150</v>
      </c>
      <c r="B1207" s="628"/>
      <c r="C1207" s="623"/>
      <c r="D1207" s="623"/>
      <c r="E1207" s="627" t="s">
        <v>1150</v>
      </c>
      <c r="F1207" s="634" t="s">
        <v>2056</v>
      </c>
      <c r="G1207" s="629">
        <v>730</v>
      </c>
      <c r="H1207" s="635">
        <v>2150</v>
      </c>
      <c r="I1207" s="618"/>
      <c r="J1207" s="619" t="s">
        <v>1150</v>
      </c>
      <c r="K1207" s="618"/>
      <c r="L1207" s="619">
        <v>131</v>
      </c>
      <c r="M1207" s="620">
        <v>122</v>
      </c>
      <c r="N1207" s="619"/>
      <c r="O1207" s="619">
        <v>13</v>
      </c>
      <c r="P1207" s="619" t="s">
        <v>760</v>
      </c>
      <c r="Q1207" s="662"/>
      <c r="R1207" s="618"/>
      <c r="S1207" s="621" t="s">
        <v>2026</v>
      </c>
      <c r="T1207" s="619" t="s">
        <v>1055</v>
      </c>
    </row>
    <row r="1208" spans="1:20">
      <c r="A1208" s="630">
        <v>7002150</v>
      </c>
      <c r="B1208" s="628"/>
      <c r="C1208" s="623"/>
      <c r="D1208" s="623"/>
      <c r="E1208" s="627" t="s">
        <v>1152</v>
      </c>
      <c r="F1208" s="634" t="s">
        <v>2057</v>
      </c>
      <c r="G1208" s="629">
        <v>700</v>
      </c>
      <c r="H1208" s="635">
        <v>2150</v>
      </c>
      <c r="I1208" s="618"/>
      <c r="J1208" s="619" t="s">
        <v>1152</v>
      </c>
      <c r="K1208" s="618"/>
      <c r="L1208" s="619">
        <v>132</v>
      </c>
      <c r="M1208" s="620">
        <v>123</v>
      </c>
      <c r="N1208" s="619"/>
      <c r="O1208" s="619">
        <v>13</v>
      </c>
      <c r="P1208" s="619" t="s">
        <v>760</v>
      </c>
      <c r="Q1208" s="662"/>
      <c r="R1208" s="618"/>
      <c r="S1208" s="621" t="s">
        <v>2026</v>
      </c>
      <c r="T1208" s="619" t="s">
        <v>1057</v>
      </c>
    </row>
    <row r="1209" spans="1:20">
      <c r="A1209" s="622"/>
      <c r="B1209" s="628"/>
      <c r="C1209" s="623"/>
      <c r="D1209" s="623" t="s">
        <v>854</v>
      </c>
      <c r="E1209" s="627" t="s">
        <v>256</v>
      </c>
      <c r="F1209" s="626"/>
      <c r="G1209" s="623"/>
      <c r="H1209" s="627"/>
      <c r="I1209" s="618"/>
      <c r="J1209" s="618"/>
      <c r="K1209" s="618"/>
      <c r="L1209" s="618"/>
      <c r="M1209" s="618"/>
      <c r="N1209" s="618"/>
      <c r="O1209" s="618"/>
      <c r="P1209" s="618"/>
      <c r="Q1209" s="662"/>
      <c r="R1209" s="618"/>
      <c r="S1209" s="621"/>
      <c r="T1209" s="618"/>
    </row>
    <row r="1210" spans="1:20">
      <c r="A1210" s="630">
        <v>8952150</v>
      </c>
      <c r="B1210" s="628"/>
      <c r="C1210" s="623"/>
      <c r="D1210" s="623"/>
      <c r="E1210" s="627" t="s">
        <v>1154</v>
      </c>
      <c r="F1210" s="634" t="s">
        <v>2058</v>
      </c>
      <c r="G1210" s="629">
        <v>895</v>
      </c>
      <c r="H1210" s="635">
        <v>2150</v>
      </c>
      <c r="I1210" s="618"/>
      <c r="J1210" s="619" t="s">
        <v>1154</v>
      </c>
      <c r="K1210" s="618"/>
      <c r="L1210" s="619">
        <v>139</v>
      </c>
      <c r="M1210" s="620">
        <v>129</v>
      </c>
      <c r="N1210" s="619"/>
      <c r="O1210" s="619">
        <v>13</v>
      </c>
      <c r="P1210" s="619" t="s">
        <v>1098</v>
      </c>
      <c r="Q1210" s="662"/>
      <c r="R1210" s="618"/>
      <c r="S1210" s="621" t="s">
        <v>2026</v>
      </c>
      <c r="T1210" s="619" t="s">
        <v>1059</v>
      </c>
    </row>
    <row r="1211" spans="1:20">
      <c r="A1211" s="630">
        <v>8002150</v>
      </c>
      <c r="B1211" s="628"/>
      <c r="C1211" s="623"/>
      <c r="D1211" s="623"/>
      <c r="E1211" s="627" t="s">
        <v>1156</v>
      </c>
      <c r="F1211" s="634" t="s">
        <v>2059</v>
      </c>
      <c r="G1211" s="629">
        <v>800</v>
      </c>
      <c r="H1211" s="635">
        <v>2150</v>
      </c>
      <c r="I1211" s="618"/>
      <c r="J1211" s="619" t="s">
        <v>1156</v>
      </c>
      <c r="K1211" s="618"/>
      <c r="L1211" s="619">
        <v>139</v>
      </c>
      <c r="M1211" s="620">
        <v>129</v>
      </c>
      <c r="N1211" s="619"/>
      <c r="O1211" s="619">
        <v>13</v>
      </c>
      <c r="P1211" s="619" t="s">
        <v>1098</v>
      </c>
      <c r="Q1211" s="662"/>
      <c r="R1211" s="618"/>
      <c r="S1211" s="621" t="s">
        <v>2026</v>
      </c>
      <c r="T1211" s="619" t="s">
        <v>1061</v>
      </c>
    </row>
    <row r="1212" spans="1:20">
      <c r="A1212" s="622"/>
      <c r="B1212" s="628"/>
      <c r="C1212" s="623"/>
      <c r="D1212" s="623" t="s">
        <v>857</v>
      </c>
      <c r="E1212" s="627" t="s">
        <v>1063</v>
      </c>
      <c r="F1212" s="626"/>
      <c r="G1212" s="623"/>
      <c r="H1212" s="627"/>
      <c r="I1212" s="618"/>
      <c r="J1212" s="618"/>
      <c r="K1212" s="618"/>
      <c r="L1212" s="618"/>
      <c r="M1212" s="618"/>
      <c r="N1212" s="618"/>
      <c r="O1212" s="618"/>
      <c r="P1212" s="618"/>
      <c r="Q1212" s="662"/>
      <c r="R1212" s="618"/>
      <c r="S1212" s="621"/>
      <c r="T1212" s="618"/>
    </row>
    <row r="1213" spans="1:20">
      <c r="A1213" s="630">
        <v>2102150</v>
      </c>
      <c r="B1213" s="628"/>
      <c r="C1213" s="623"/>
      <c r="D1213" s="623"/>
      <c r="E1213" s="627" t="s">
        <v>1158</v>
      </c>
      <c r="F1213" s="634" t="s">
        <v>2060</v>
      </c>
      <c r="G1213" s="629">
        <v>210</v>
      </c>
      <c r="H1213" s="635">
        <v>2150</v>
      </c>
      <c r="I1213" s="618"/>
      <c r="J1213" s="619" t="s">
        <v>1158</v>
      </c>
      <c r="K1213" s="618"/>
      <c r="L1213" s="619">
        <v>89</v>
      </c>
      <c r="M1213" s="620">
        <v>84</v>
      </c>
      <c r="N1213" s="619"/>
      <c r="O1213" s="619">
        <v>13</v>
      </c>
      <c r="P1213" s="619" t="s">
        <v>1098</v>
      </c>
      <c r="Q1213" s="662" t="s">
        <v>1002</v>
      </c>
      <c r="R1213" s="618"/>
      <c r="S1213" s="621" t="s">
        <v>2026</v>
      </c>
      <c r="T1213" s="619" t="s">
        <v>1064</v>
      </c>
    </row>
    <row r="1214" spans="1:20">
      <c r="A1214" s="630">
        <v>2202150</v>
      </c>
      <c r="B1214" s="628"/>
      <c r="C1214" s="623"/>
      <c r="D1214" s="623"/>
      <c r="E1214" s="627" t="s">
        <v>1160</v>
      </c>
      <c r="F1214" s="634" t="s">
        <v>2061</v>
      </c>
      <c r="G1214" s="629">
        <v>220</v>
      </c>
      <c r="H1214" s="635">
        <v>2150</v>
      </c>
      <c r="I1214" s="618"/>
      <c r="J1214" s="619" t="s">
        <v>1160</v>
      </c>
      <c r="K1214" s="618"/>
      <c r="L1214" s="619">
        <v>90</v>
      </c>
      <c r="M1214" s="620">
        <v>85</v>
      </c>
      <c r="N1214" s="619"/>
      <c r="O1214" s="619">
        <v>13</v>
      </c>
      <c r="P1214" s="619" t="s">
        <v>1098</v>
      </c>
      <c r="Q1214" s="662" t="s">
        <v>1002</v>
      </c>
      <c r="R1214" s="618"/>
      <c r="S1214" s="621" t="s">
        <v>2026</v>
      </c>
      <c r="T1214" s="619" t="s">
        <v>1066</v>
      </c>
    </row>
    <row r="1215" spans="1:20">
      <c r="A1215" s="630">
        <v>2252150</v>
      </c>
      <c r="B1215" s="628"/>
      <c r="C1215" s="623"/>
      <c r="D1215" s="623"/>
      <c r="E1215" s="627" t="s">
        <v>1162</v>
      </c>
      <c r="F1215" s="634" t="s">
        <v>2062</v>
      </c>
      <c r="G1215" s="629">
        <v>225</v>
      </c>
      <c r="H1215" s="635">
        <v>2150</v>
      </c>
      <c r="I1215" s="618"/>
      <c r="J1215" s="619" t="s">
        <v>1162</v>
      </c>
      <c r="K1215" s="618"/>
      <c r="L1215" s="619">
        <v>91</v>
      </c>
      <c r="M1215" s="620">
        <v>86</v>
      </c>
      <c r="N1215" s="619"/>
      <c r="O1215" s="619">
        <v>13</v>
      </c>
      <c r="P1215" s="619" t="s">
        <v>1098</v>
      </c>
      <c r="Q1215" s="662" t="s">
        <v>1002</v>
      </c>
      <c r="R1215" s="618"/>
      <c r="S1215" s="621" t="s">
        <v>2026</v>
      </c>
      <c r="T1215" s="619" t="s">
        <v>23</v>
      </c>
    </row>
    <row r="1216" spans="1:20">
      <c r="A1216" s="622"/>
      <c r="B1216" s="628"/>
      <c r="C1216" s="623"/>
      <c r="D1216" s="623"/>
      <c r="E1216" s="627" t="s">
        <v>1164</v>
      </c>
      <c r="F1216" s="626"/>
      <c r="G1216" s="623"/>
      <c r="H1216" s="627"/>
      <c r="I1216" s="618"/>
      <c r="J1216" s="618"/>
      <c r="K1216" s="618"/>
      <c r="L1216" s="618"/>
      <c r="M1216" s="618"/>
      <c r="N1216" s="618"/>
      <c r="O1216" s="618"/>
      <c r="P1216" s="618"/>
      <c r="Q1216" s="662"/>
      <c r="R1216" s="618"/>
      <c r="S1216" s="621"/>
      <c r="T1216" s="618"/>
    </row>
    <row r="1217" spans="1:20">
      <c r="A1217" s="630">
        <v>2312150</v>
      </c>
      <c r="B1217" s="628"/>
      <c r="C1217" s="623"/>
      <c r="D1217" s="623"/>
      <c r="E1217" s="627" t="s">
        <v>1165</v>
      </c>
      <c r="F1217" s="634" t="s">
        <v>2063</v>
      </c>
      <c r="G1217" s="629">
        <v>231</v>
      </c>
      <c r="H1217" s="635">
        <v>2150</v>
      </c>
      <c r="I1217" s="618"/>
      <c r="J1217" s="619" t="s">
        <v>1165</v>
      </c>
      <c r="K1217" s="618"/>
      <c r="L1217" s="619">
        <v>92</v>
      </c>
      <c r="M1217" s="620">
        <v>87</v>
      </c>
      <c r="N1217" s="619"/>
      <c r="O1217" s="619">
        <v>13</v>
      </c>
      <c r="P1217" s="619" t="s">
        <v>1098</v>
      </c>
      <c r="Q1217" s="662" t="s">
        <v>1002</v>
      </c>
      <c r="R1217" s="618"/>
      <c r="S1217" s="621" t="s">
        <v>2026</v>
      </c>
      <c r="T1217" s="619" t="s">
        <v>1072</v>
      </c>
    </row>
    <row r="1218" spans="1:20">
      <c r="A1218" s="630">
        <v>2332150</v>
      </c>
      <c r="B1218" s="628"/>
      <c r="C1218" s="623"/>
      <c r="D1218" s="623"/>
      <c r="E1218" s="627" t="s">
        <v>1167</v>
      </c>
      <c r="F1218" s="634" t="s">
        <v>2064</v>
      </c>
      <c r="G1218" s="629">
        <v>233</v>
      </c>
      <c r="H1218" s="635">
        <v>2150</v>
      </c>
      <c r="I1218" s="618"/>
      <c r="J1218" s="619" t="s">
        <v>1167</v>
      </c>
      <c r="K1218" s="618"/>
      <c r="L1218" s="619">
        <v>92</v>
      </c>
      <c r="M1218" s="620">
        <v>87</v>
      </c>
      <c r="N1218" s="619"/>
      <c r="O1218" s="619">
        <v>13</v>
      </c>
      <c r="P1218" s="619" t="s">
        <v>1098</v>
      </c>
      <c r="Q1218" s="662" t="s">
        <v>1002</v>
      </c>
      <c r="R1218" s="618"/>
      <c r="S1218" s="621" t="s">
        <v>2026</v>
      </c>
      <c r="T1218" s="619" t="s">
        <v>1169</v>
      </c>
    </row>
    <row r="1219" spans="1:20">
      <c r="A1219" s="630">
        <v>2392150</v>
      </c>
      <c r="B1219" s="670"/>
      <c r="C1219" s="632"/>
      <c r="D1219" s="632"/>
      <c r="E1219" s="637" t="s">
        <v>1170</v>
      </c>
      <c r="F1219" s="631" t="s">
        <v>2065</v>
      </c>
      <c r="G1219" s="661">
        <v>239</v>
      </c>
      <c r="H1219" s="633">
        <v>2150</v>
      </c>
      <c r="I1219" s="618"/>
      <c r="J1219" s="619" t="s">
        <v>1170</v>
      </c>
      <c r="K1219" s="618"/>
      <c r="L1219" s="619">
        <v>92</v>
      </c>
      <c r="M1219" s="620">
        <v>87</v>
      </c>
      <c r="N1219" s="619"/>
      <c r="O1219" s="619">
        <v>13</v>
      </c>
      <c r="P1219" s="619" t="s">
        <v>1098</v>
      </c>
      <c r="Q1219" s="662" t="s">
        <v>1002</v>
      </c>
      <c r="R1219" s="618"/>
      <c r="S1219" s="621" t="s">
        <v>2026</v>
      </c>
      <c r="T1219" s="619" t="s">
        <v>1078</v>
      </c>
    </row>
    <row r="1220" spans="1:20">
      <c r="A1220" s="630">
        <v>2502150</v>
      </c>
      <c r="B1220" s="628"/>
      <c r="C1220" s="623"/>
      <c r="D1220" s="623"/>
      <c r="E1220" s="627" t="s">
        <v>1172</v>
      </c>
      <c r="F1220" s="634" t="s">
        <v>2066</v>
      </c>
      <c r="G1220" s="629">
        <v>250</v>
      </c>
      <c r="H1220" s="635">
        <v>2150</v>
      </c>
      <c r="I1220" s="618"/>
      <c r="J1220" s="619" t="s">
        <v>1172</v>
      </c>
      <c r="K1220" s="618"/>
      <c r="L1220" s="619">
        <v>93</v>
      </c>
      <c r="M1220" s="620">
        <v>88</v>
      </c>
      <c r="N1220" s="619"/>
      <c r="O1220" s="619">
        <v>13</v>
      </c>
      <c r="P1220" s="619" t="s">
        <v>1098</v>
      </c>
      <c r="Q1220" s="662" t="s">
        <v>1002</v>
      </c>
      <c r="R1220" s="618"/>
      <c r="S1220" s="621" t="s">
        <v>2026</v>
      </c>
      <c r="T1220" s="619" t="s">
        <v>1079</v>
      </c>
    </row>
    <row r="1221" spans="1:20">
      <c r="A1221" s="630">
        <v>2602150</v>
      </c>
      <c r="B1221" s="628"/>
      <c r="C1221" s="623"/>
      <c r="D1221" s="623"/>
      <c r="E1221" s="627" t="s">
        <v>1174</v>
      </c>
      <c r="F1221" s="634" t="s">
        <v>2067</v>
      </c>
      <c r="G1221" s="629">
        <v>260</v>
      </c>
      <c r="H1221" s="635">
        <v>2150</v>
      </c>
      <c r="I1221" s="618"/>
      <c r="J1221" s="619" t="s">
        <v>1174</v>
      </c>
      <c r="K1221" s="618"/>
      <c r="L1221" s="619">
        <v>95</v>
      </c>
      <c r="M1221" s="620">
        <v>90</v>
      </c>
      <c r="N1221" s="619"/>
      <c r="O1221" s="619">
        <v>13</v>
      </c>
      <c r="P1221" s="619" t="s">
        <v>1098</v>
      </c>
      <c r="Q1221" s="662" t="s">
        <v>1002</v>
      </c>
      <c r="R1221" s="618"/>
      <c r="S1221" s="621" t="s">
        <v>2026</v>
      </c>
      <c r="T1221" s="619" t="s">
        <v>1081</v>
      </c>
    </row>
    <row r="1222" spans="1:20">
      <c r="A1222" s="630">
        <v>2702150</v>
      </c>
      <c r="B1222" s="628"/>
      <c r="C1222" s="623"/>
      <c r="D1222" s="623"/>
      <c r="E1222" s="627" t="s">
        <v>1176</v>
      </c>
      <c r="F1222" s="634" t="s">
        <v>2068</v>
      </c>
      <c r="G1222" s="629">
        <v>270</v>
      </c>
      <c r="H1222" s="635">
        <v>2150</v>
      </c>
      <c r="I1222" s="618"/>
      <c r="J1222" s="619" t="s">
        <v>1176</v>
      </c>
      <c r="K1222" s="618"/>
      <c r="L1222" s="619">
        <v>94</v>
      </c>
      <c r="M1222" s="620">
        <v>89</v>
      </c>
      <c r="N1222" s="619"/>
      <c r="O1222" s="619">
        <v>13</v>
      </c>
      <c r="P1222" s="619" t="s">
        <v>1098</v>
      </c>
      <c r="Q1222" s="662" t="s">
        <v>1002</v>
      </c>
      <c r="R1222" s="618"/>
      <c r="S1222" s="621" t="s">
        <v>2026</v>
      </c>
      <c r="T1222" s="619" t="s">
        <v>1083</v>
      </c>
    </row>
    <row r="1223" spans="1:20">
      <c r="A1223" s="630">
        <v>2812150</v>
      </c>
      <c r="B1223" s="628"/>
      <c r="C1223" s="623"/>
      <c r="D1223" s="623"/>
      <c r="E1223" s="627" t="s">
        <v>1178</v>
      </c>
      <c r="F1223" s="634" t="s">
        <v>2069</v>
      </c>
      <c r="G1223" s="629">
        <v>281</v>
      </c>
      <c r="H1223" s="635">
        <v>2150</v>
      </c>
      <c r="I1223" s="618"/>
      <c r="J1223" s="619" t="s">
        <v>1178</v>
      </c>
      <c r="K1223" s="618"/>
      <c r="L1223" s="619">
        <v>95</v>
      </c>
      <c r="M1223" s="620">
        <v>90</v>
      </c>
      <c r="N1223" s="619"/>
      <c r="O1223" s="619">
        <v>13</v>
      </c>
      <c r="P1223" s="619" t="s">
        <v>1098</v>
      </c>
      <c r="Q1223" s="662" t="s">
        <v>1002</v>
      </c>
      <c r="R1223" s="618"/>
      <c r="S1223" s="621" t="s">
        <v>2026</v>
      </c>
      <c r="T1223" s="619" t="s">
        <v>1085</v>
      </c>
    </row>
    <row r="1224" spans="1:20">
      <c r="A1224" s="630">
        <v>2822150</v>
      </c>
      <c r="B1224" s="628"/>
      <c r="C1224" s="623"/>
      <c r="D1224" s="623"/>
      <c r="E1224" s="627" t="s">
        <v>1180</v>
      </c>
      <c r="F1224" s="634" t="s">
        <v>2070</v>
      </c>
      <c r="G1224" s="629">
        <v>282</v>
      </c>
      <c r="H1224" s="635">
        <v>2150</v>
      </c>
      <c r="I1224" s="618"/>
      <c r="J1224" s="619" t="s">
        <v>1180</v>
      </c>
      <c r="K1224" s="618"/>
      <c r="L1224" s="619">
        <v>95</v>
      </c>
      <c r="M1224" s="620">
        <v>90</v>
      </c>
      <c r="N1224" s="619"/>
      <c r="O1224" s="619">
        <v>13</v>
      </c>
      <c r="P1224" s="619" t="s">
        <v>1098</v>
      </c>
      <c r="Q1224" s="662" t="s">
        <v>1002</v>
      </c>
      <c r="R1224" s="618"/>
      <c r="S1224" s="621" t="s">
        <v>2026</v>
      </c>
      <c r="T1224" s="619" t="s">
        <v>1087</v>
      </c>
    </row>
    <row r="1225" spans="1:20">
      <c r="A1225" s="630">
        <v>2902150</v>
      </c>
      <c r="B1225" s="628"/>
      <c r="C1225" s="623"/>
      <c r="D1225" s="623"/>
      <c r="E1225" s="627" t="s">
        <v>1182</v>
      </c>
      <c r="F1225" s="634" t="s">
        <v>2071</v>
      </c>
      <c r="G1225" s="629">
        <v>290</v>
      </c>
      <c r="H1225" s="635">
        <v>2150</v>
      </c>
      <c r="I1225" s="618"/>
      <c r="J1225" s="619" t="s">
        <v>1182</v>
      </c>
      <c r="K1225" s="618"/>
      <c r="L1225" s="619">
        <v>95</v>
      </c>
      <c r="M1225" s="620">
        <v>90</v>
      </c>
      <c r="N1225" s="619"/>
      <c r="O1225" s="619">
        <v>13</v>
      </c>
      <c r="P1225" s="619" t="s">
        <v>1098</v>
      </c>
      <c r="Q1225" s="662" t="s">
        <v>1002</v>
      </c>
      <c r="R1225" s="618"/>
      <c r="S1225" s="621" t="s">
        <v>2026</v>
      </c>
      <c r="T1225" s="619" t="s">
        <v>1090</v>
      </c>
    </row>
    <row r="1226" spans="1:20">
      <c r="A1226" s="622"/>
      <c r="B1226" s="628"/>
      <c r="C1226" s="629">
        <v>52</v>
      </c>
      <c r="D1226" s="784" t="s">
        <v>2072</v>
      </c>
      <c r="E1226" s="775"/>
      <c r="F1226" s="626"/>
      <c r="G1226" s="623"/>
      <c r="H1226" s="627"/>
      <c r="I1226" s="618"/>
      <c r="J1226" s="618"/>
      <c r="K1226" s="618"/>
      <c r="L1226" s="618"/>
      <c r="M1226" s="618"/>
      <c r="N1226" s="618"/>
      <c r="O1226" s="618"/>
      <c r="P1226" s="618"/>
      <c r="Q1226" s="662"/>
      <c r="R1226" s="618"/>
      <c r="S1226" s="621"/>
      <c r="T1226" s="618"/>
    </row>
    <row r="1227" spans="1:20">
      <c r="A1227" s="622"/>
      <c r="B1227" s="628"/>
      <c r="C1227" s="623"/>
      <c r="D1227" s="774" t="s">
        <v>2073</v>
      </c>
      <c r="E1227" s="775"/>
      <c r="F1227" s="626"/>
      <c r="G1227" s="623"/>
      <c r="H1227" s="627"/>
      <c r="I1227" s="618"/>
      <c r="J1227" s="618"/>
      <c r="K1227" s="618"/>
      <c r="L1227" s="618"/>
      <c r="M1227" s="618"/>
      <c r="N1227" s="618"/>
      <c r="O1227" s="618"/>
      <c r="P1227" s="618"/>
      <c r="Q1227" s="662"/>
      <c r="R1227" s="618"/>
      <c r="S1227" s="621"/>
      <c r="T1227" s="618"/>
    </row>
    <row r="1228" spans="1:20">
      <c r="A1228" s="622"/>
      <c r="B1228" s="628"/>
      <c r="C1228" s="623"/>
      <c r="D1228" s="623" t="s">
        <v>756</v>
      </c>
      <c r="E1228" s="627" t="s">
        <v>244</v>
      </c>
      <c r="F1228" s="626"/>
      <c r="G1228" s="623"/>
      <c r="H1228" s="627"/>
      <c r="I1228" s="618"/>
      <c r="J1228" s="618"/>
      <c r="K1228" s="618"/>
      <c r="L1228" s="618"/>
      <c r="M1228" s="618"/>
      <c r="N1228" s="618"/>
      <c r="O1228" s="618"/>
      <c r="P1228" s="618"/>
      <c r="Q1228" s="662"/>
      <c r="R1228" s="618"/>
      <c r="S1228" s="621"/>
      <c r="T1228" s="618"/>
    </row>
    <row r="1229" spans="1:20">
      <c r="A1229" s="630">
        <v>1112160</v>
      </c>
      <c r="B1229" s="628"/>
      <c r="C1229" s="623"/>
      <c r="D1229" s="623"/>
      <c r="E1229" s="627" t="s">
        <v>1844</v>
      </c>
      <c r="F1229" s="634" t="s">
        <v>2074</v>
      </c>
      <c r="G1229" s="629">
        <v>111</v>
      </c>
      <c r="H1229" s="635">
        <v>2160</v>
      </c>
      <c r="I1229" s="618"/>
      <c r="J1229" s="619" t="s">
        <v>1844</v>
      </c>
      <c r="K1229" s="618"/>
      <c r="L1229" s="619">
        <v>81</v>
      </c>
      <c r="M1229" s="620">
        <v>76</v>
      </c>
      <c r="N1229" s="619"/>
      <c r="O1229" s="619">
        <v>13</v>
      </c>
      <c r="P1229" s="619" t="s">
        <v>1098</v>
      </c>
      <c r="Q1229" s="662" t="s">
        <v>1002</v>
      </c>
      <c r="R1229" s="618"/>
      <c r="S1229" s="621" t="s">
        <v>2075</v>
      </c>
      <c r="T1229" s="619" t="s">
        <v>1847</v>
      </c>
    </row>
    <row r="1230" spans="1:20">
      <c r="A1230" s="630">
        <v>1132161</v>
      </c>
      <c r="B1230" s="628"/>
      <c r="C1230" s="623"/>
      <c r="D1230" s="623"/>
      <c r="E1230" s="627" t="s">
        <v>2076</v>
      </c>
      <c r="F1230" s="634" t="s">
        <v>2077</v>
      </c>
      <c r="G1230" s="629">
        <v>113</v>
      </c>
      <c r="H1230" s="635">
        <v>2161</v>
      </c>
      <c r="I1230" s="618"/>
      <c r="J1230" s="619" t="s">
        <v>2076</v>
      </c>
      <c r="K1230" s="618"/>
      <c r="L1230" s="619">
        <v>83</v>
      </c>
      <c r="M1230" s="620">
        <v>78</v>
      </c>
      <c r="N1230" s="619"/>
      <c r="O1230" s="619">
        <v>13</v>
      </c>
      <c r="P1230" s="619" t="s">
        <v>1098</v>
      </c>
      <c r="Q1230" s="662" t="s">
        <v>1002</v>
      </c>
      <c r="R1230" s="618"/>
      <c r="S1230" s="621" t="s">
        <v>2075</v>
      </c>
      <c r="T1230" s="619" t="s">
        <v>2078</v>
      </c>
    </row>
    <row r="1231" spans="1:20">
      <c r="A1231" s="630">
        <v>1132166</v>
      </c>
      <c r="B1231" s="628"/>
      <c r="C1231" s="623"/>
      <c r="D1231" s="623"/>
      <c r="E1231" s="627" t="s">
        <v>2079</v>
      </c>
      <c r="F1231" s="634" t="s">
        <v>2080</v>
      </c>
      <c r="G1231" s="629">
        <v>113</v>
      </c>
      <c r="H1231" s="635">
        <v>2166</v>
      </c>
      <c r="I1231" s="618"/>
      <c r="J1231" s="619" t="s">
        <v>2079</v>
      </c>
      <c r="K1231" s="618"/>
      <c r="L1231" s="619">
        <v>83</v>
      </c>
      <c r="M1231" s="620">
        <v>78</v>
      </c>
      <c r="N1231" s="619"/>
      <c r="O1231" s="619">
        <v>13</v>
      </c>
      <c r="P1231" s="619" t="s">
        <v>1098</v>
      </c>
      <c r="Q1231" s="662" t="s">
        <v>1002</v>
      </c>
      <c r="R1231" s="618"/>
      <c r="S1231" s="621" t="s">
        <v>2075</v>
      </c>
      <c r="T1231" s="619" t="s">
        <v>2081</v>
      </c>
    </row>
    <row r="1232" spans="1:20">
      <c r="A1232" s="630">
        <v>1132167</v>
      </c>
      <c r="B1232" s="628"/>
      <c r="C1232" s="623"/>
      <c r="D1232" s="623"/>
      <c r="E1232" s="627" t="s">
        <v>2082</v>
      </c>
      <c r="F1232" s="634" t="s">
        <v>2083</v>
      </c>
      <c r="G1232" s="629">
        <v>113</v>
      </c>
      <c r="H1232" s="635">
        <v>2167</v>
      </c>
      <c r="I1232" s="618"/>
      <c r="J1232" s="619" t="s">
        <v>2082</v>
      </c>
      <c r="K1232" s="618"/>
      <c r="L1232" s="619">
        <v>83</v>
      </c>
      <c r="M1232" s="620">
        <v>78</v>
      </c>
      <c r="N1232" s="619"/>
      <c r="O1232" s="619">
        <v>13</v>
      </c>
      <c r="P1232" s="619" t="s">
        <v>1098</v>
      </c>
      <c r="Q1232" s="662" t="s">
        <v>1002</v>
      </c>
      <c r="R1232" s="618"/>
      <c r="S1232" s="621" t="s">
        <v>2075</v>
      </c>
      <c r="T1232" s="619" t="s">
        <v>2084</v>
      </c>
    </row>
    <row r="1233" spans="1:20">
      <c r="A1233" s="630">
        <v>1132168</v>
      </c>
      <c r="B1233" s="628"/>
      <c r="C1233" s="623"/>
      <c r="D1233" s="623"/>
      <c r="E1233" s="627" t="s">
        <v>2085</v>
      </c>
      <c r="F1233" s="634" t="s">
        <v>2086</v>
      </c>
      <c r="G1233" s="629">
        <v>113</v>
      </c>
      <c r="H1233" s="635">
        <v>2168</v>
      </c>
      <c r="I1233" s="618"/>
      <c r="J1233" s="619" t="s">
        <v>2085</v>
      </c>
      <c r="K1233" s="618"/>
      <c r="L1233" s="619">
        <v>83</v>
      </c>
      <c r="M1233" s="620">
        <v>78</v>
      </c>
      <c r="N1233" s="619"/>
      <c r="O1233" s="619">
        <v>13</v>
      </c>
      <c r="P1233" s="619" t="s">
        <v>1098</v>
      </c>
      <c r="Q1233" s="662" t="s">
        <v>1002</v>
      </c>
      <c r="R1233" s="618"/>
      <c r="S1233" s="621" t="s">
        <v>2075</v>
      </c>
      <c r="T1233" s="619" t="s">
        <v>2087</v>
      </c>
    </row>
    <row r="1234" spans="1:20">
      <c r="A1234" s="630">
        <v>1132169</v>
      </c>
      <c r="B1234" s="628"/>
      <c r="C1234" s="623"/>
      <c r="D1234" s="623"/>
      <c r="E1234" s="627" t="s">
        <v>2088</v>
      </c>
      <c r="F1234" s="634" t="s">
        <v>2089</v>
      </c>
      <c r="G1234" s="629">
        <v>113</v>
      </c>
      <c r="H1234" s="635">
        <v>2169</v>
      </c>
      <c r="I1234" s="618"/>
      <c r="J1234" s="619" t="s">
        <v>2088</v>
      </c>
      <c r="K1234" s="618"/>
      <c r="L1234" s="619">
        <v>83</v>
      </c>
      <c r="M1234" s="620">
        <v>78</v>
      </c>
      <c r="N1234" s="619"/>
      <c r="O1234" s="619">
        <v>13</v>
      </c>
      <c r="P1234" s="619" t="s">
        <v>1098</v>
      </c>
      <c r="Q1234" s="662" t="s">
        <v>1002</v>
      </c>
      <c r="R1234" s="618"/>
      <c r="S1234" s="621" t="s">
        <v>2075</v>
      </c>
      <c r="T1234" s="619" t="s">
        <v>2090</v>
      </c>
    </row>
    <row r="1235" spans="1:20">
      <c r="A1235" s="630">
        <v>1002160</v>
      </c>
      <c r="B1235" s="628"/>
      <c r="C1235" s="623"/>
      <c r="D1235" s="623"/>
      <c r="E1235" s="627" t="s">
        <v>2091</v>
      </c>
      <c r="F1235" s="634" t="s">
        <v>2092</v>
      </c>
      <c r="G1235" s="629">
        <v>100</v>
      </c>
      <c r="H1235" s="635">
        <v>2160</v>
      </c>
      <c r="I1235" s="618"/>
      <c r="J1235" s="619" t="s">
        <v>2091</v>
      </c>
      <c r="K1235" s="618"/>
      <c r="L1235" s="619">
        <v>86</v>
      </c>
      <c r="M1235" s="620">
        <v>81</v>
      </c>
      <c r="N1235" s="619"/>
      <c r="O1235" s="619">
        <v>13</v>
      </c>
      <c r="P1235" s="619" t="s">
        <v>1098</v>
      </c>
      <c r="Q1235" s="662" t="s">
        <v>1002</v>
      </c>
      <c r="R1235" s="618"/>
      <c r="S1235" s="621" t="s">
        <v>2075</v>
      </c>
      <c r="T1235" s="619" t="s">
        <v>2093</v>
      </c>
    </row>
    <row r="1236" spans="1:20">
      <c r="A1236" s="630">
        <v>1402160</v>
      </c>
      <c r="B1236" s="628"/>
      <c r="C1236" s="623"/>
      <c r="D1236" s="623"/>
      <c r="E1236" s="627" t="s">
        <v>1947</v>
      </c>
      <c r="F1236" s="634" t="s">
        <v>2094</v>
      </c>
      <c r="G1236" s="629">
        <v>140</v>
      </c>
      <c r="H1236" s="635">
        <v>2160</v>
      </c>
      <c r="I1236" s="618"/>
      <c r="J1236" s="619" t="s">
        <v>1947</v>
      </c>
      <c r="K1236" s="618"/>
      <c r="L1236" s="619">
        <v>86</v>
      </c>
      <c r="M1236" s="620">
        <v>81</v>
      </c>
      <c r="N1236" s="619"/>
      <c r="O1236" s="619">
        <v>13</v>
      </c>
      <c r="P1236" s="619" t="s">
        <v>1098</v>
      </c>
      <c r="Q1236" s="662" t="s">
        <v>1002</v>
      </c>
      <c r="R1236" s="618"/>
      <c r="S1236" s="621" t="s">
        <v>2075</v>
      </c>
      <c r="T1236" s="619" t="s">
        <v>1017</v>
      </c>
    </row>
    <row r="1237" spans="1:20">
      <c r="A1237" s="630">
        <v>3002160</v>
      </c>
      <c r="B1237" s="628"/>
      <c r="C1237" s="623"/>
      <c r="D1237" s="623" t="s">
        <v>775</v>
      </c>
      <c r="E1237" s="627" t="s">
        <v>1112</v>
      </c>
      <c r="F1237" s="634" t="s">
        <v>2095</v>
      </c>
      <c r="G1237" s="629">
        <v>300</v>
      </c>
      <c r="H1237" s="635">
        <v>2160</v>
      </c>
      <c r="I1237" s="618"/>
      <c r="J1237" s="619" t="s">
        <v>1112</v>
      </c>
      <c r="K1237" s="618"/>
      <c r="L1237" s="619">
        <v>101</v>
      </c>
      <c r="M1237" s="620">
        <v>96</v>
      </c>
      <c r="N1237" s="619"/>
      <c r="O1237" s="619">
        <v>13</v>
      </c>
      <c r="P1237" s="619" t="s">
        <v>1098</v>
      </c>
      <c r="Q1237" s="662"/>
      <c r="R1237" s="618"/>
      <c r="S1237" s="621" t="s">
        <v>2075</v>
      </c>
      <c r="T1237" s="619" t="s">
        <v>1112</v>
      </c>
    </row>
    <row r="1238" spans="1:20">
      <c r="A1238" s="622"/>
      <c r="B1238" s="628"/>
      <c r="C1238" s="623"/>
      <c r="D1238" s="623" t="s">
        <v>799</v>
      </c>
      <c r="E1238" s="627" t="s">
        <v>250</v>
      </c>
      <c r="F1238" s="626"/>
      <c r="G1238" s="623"/>
      <c r="H1238" s="627"/>
      <c r="I1238" s="618"/>
      <c r="J1238" s="618"/>
      <c r="K1238" s="618"/>
      <c r="L1238" s="618"/>
      <c r="M1238" s="618"/>
      <c r="N1238" s="618"/>
      <c r="O1238" s="618"/>
      <c r="P1238" s="618"/>
      <c r="Q1238" s="662"/>
      <c r="R1238" s="618"/>
      <c r="S1238" s="621"/>
      <c r="T1238" s="618"/>
    </row>
    <row r="1239" spans="1:20">
      <c r="A1239" s="630">
        <v>4302160</v>
      </c>
      <c r="B1239" s="628"/>
      <c r="C1239" s="623"/>
      <c r="D1239" s="623"/>
      <c r="E1239" s="627" t="s">
        <v>1114</v>
      </c>
      <c r="F1239" s="634" t="s">
        <v>2096</v>
      </c>
      <c r="G1239" s="629">
        <v>430</v>
      </c>
      <c r="H1239" s="635">
        <v>2160</v>
      </c>
      <c r="I1239" s="618"/>
      <c r="J1239" s="619" t="s">
        <v>1114</v>
      </c>
      <c r="K1239" s="618"/>
      <c r="L1239" s="619">
        <v>107</v>
      </c>
      <c r="M1239" s="620">
        <v>102</v>
      </c>
      <c r="N1239" s="619"/>
      <c r="O1239" s="619">
        <v>13</v>
      </c>
      <c r="P1239" s="619" t="s">
        <v>1098</v>
      </c>
      <c r="Q1239" s="662"/>
      <c r="R1239" s="618"/>
      <c r="S1239" s="621" t="s">
        <v>2075</v>
      </c>
      <c r="T1239" s="619" t="s">
        <v>1021</v>
      </c>
    </row>
    <row r="1240" spans="1:20">
      <c r="A1240" s="630">
        <v>4422160</v>
      </c>
      <c r="B1240" s="628"/>
      <c r="C1240" s="623"/>
      <c r="D1240" s="623"/>
      <c r="E1240" s="627" t="s">
        <v>1116</v>
      </c>
      <c r="F1240" s="634" t="s">
        <v>2097</v>
      </c>
      <c r="G1240" s="629">
        <v>442</v>
      </c>
      <c r="H1240" s="635">
        <v>2160</v>
      </c>
      <c r="I1240" s="618"/>
      <c r="J1240" s="619" t="s">
        <v>1116</v>
      </c>
      <c r="K1240" s="618"/>
      <c r="L1240" s="619">
        <v>106</v>
      </c>
      <c r="M1240" s="620">
        <v>101</v>
      </c>
      <c r="N1240" s="619"/>
      <c r="O1240" s="619">
        <v>13</v>
      </c>
      <c r="P1240" s="619" t="s">
        <v>1098</v>
      </c>
      <c r="Q1240" s="662"/>
      <c r="R1240" s="618"/>
      <c r="S1240" s="621" t="s">
        <v>2075</v>
      </c>
      <c r="T1240" s="619" t="s">
        <v>1023</v>
      </c>
    </row>
    <row r="1241" spans="1:20">
      <c r="A1241" s="630">
        <v>4002160</v>
      </c>
      <c r="B1241" s="628"/>
      <c r="C1241" s="623"/>
      <c r="D1241" s="623"/>
      <c r="E1241" s="627" t="s">
        <v>1118</v>
      </c>
      <c r="F1241" s="634" t="s">
        <v>2098</v>
      </c>
      <c r="G1241" s="629">
        <v>400</v>
      </c>
      <c r="H1241" s="635">
        <v>2160</v>
      </c>
      <c r="I1241" s="618"/>
      <c r="J1241" s="619" t="s">
        <v>1118</v>
      </c>
      <c r="K1241" s="618"/>
      <c r="L1241" s="619">
        <v>108</v>
      </c>
      <c r="M1241" s="620">
        <v>103</v>
      </c>
      <c r="N1241" s="619"/>
      <c r="O1241" s="619">
        <v>13</v>
      </c>
      <c r="P1241" s="619" t="s">
        <v>1098</v>
      </c>
      <c r="Q1241" s="662"/>
      <c r="R1241" s="618"/>
      <c r="S1241" s="621" t="s">
        <v>2075</v>
      </c>
      <c r="T1241" s="619" t="s">
        <v>1025</v>
      </c>
    </row>
    <row r="1242" spans="1:20">
      <c r="A1242" s="622"/>
      <c r="B1242" s="628"/>
      <c r="C1242" s="623"/>
      <c r="D1242" s="623" t="s">
        <v>803</v>
      </c>
      <c r="E1242" s="627" t="s">
        <v>252</v>
      </c>
      <c r="F1242" s="626"/>
      <c r="G1242" s="623"/>
      <c r="H1242" s="627"/>
      <c r="I1242" s="618"/>
      <c r="J1242" s="618"/>
      <c r="K1242" s="618"/>
      <c r="L1242" s="618"/>
      <c r="M1242" s="618"/>
      <c r="N1242" s="618"/>
      <c r="O1242" s="618"/>
      <c r="P1242" s="618"/>
      <c r="Q1242" s="662"/>
      <c r="R1242" s="618"/>
      <c r="S1242" s="621"/>
      <c r="T1242" s="618"/>
    </row>
    <row r="1243" spans="1:20">
      <c r="A1243" s="630">
        <v>5822160</v>
      </c>
      <c r="B1243" s="628"/>
      <c r="C1243" s="623"/>
      <c r="D1243" s="623"/>
      <c r="E1243" s="627" t="s">
        <v>1863</v>
      </c>
      <c r="F1243" s="634" t="s">
        <v>2099</v>
      </c>
      <c r="G1243" s="629">
        <v>582</v>
      </c>
      <c r="H1243" s="635">
        <v>2160</v>
      </c>
      <c r="I1243" s="618"/>
      <c r="J1243" s="619" t="s">
        <v>1863</v>
      </c>
      <c r="K1243" s="618"/>
      <c r="L1243" s="619">
        <v>118</v>
      </c>
      <c r="M1243" s="620">
        <v>109</v>
      </c>
      <c r="N1243" s="619"/>
      <c r="O1243" s="619">
        <v>13</v>
      </c>
      <c r="P1243" s="619" t="s">
        <v>1098</v>
      </c>
      <c r="Q1243" s="662"/>
      <c r="R1243" s="618"/>
      <c r="S1243" s="621" t="s">
        <v>2075</v>
      </c>
      <c r="T1243" s="619" t="s">
        <v>1037</v>
      </c>
    </row>
    <row r="1244" spans="1:20">
      <c r="A1244" s="630">
        <v>5002160</v>
      </c>
      <c r="B1244" s="628"/>
      <c r="C1244" s="623"/>
      <c r="D1244" s="623"/>
      <c r="E1244" s="627" t="s">
        <v>1865</v>
      </c>
      <c r="F1244" s="634" t="s">
        <v>2100</v>
      </c>
      <c r="G1244" s="629">
        <v>500</v>
      </c>
      <c r="H1244" s="635">
        <v>2160</v>
      </c>
      <c r="I1244" s="618"/>
      <c r="J1244" s="619" t="s">
        <v>1865</v>
      </c>
      <c r="K1244" s="618"/>
      <c r="L1244" s="619">
        <v>119</v>
      </c>
      <c r="M1244" s="620">
        <v>110</v>
      </c>
      <c r="N1244" s="619"/>
      <c r="O1244" s="619">
        <v>13</v>
      </c>
      <c r="P1244" s="619" t="s">
        <v>1098</v>
      </c>
      <c r="Q1244" s="662"/>
      <c r="R1244" s="618"/>
      <c r="S1244" s="621" t="s">
        <v>2075</v>
      </c>
      <c r="T1244" s="619" t="s">
        <v>252</v>
      </c>
    </row>
    <row r="1245" spans="1:20">
      <c r="A1245" s="622"/>
      <c r="B1245" s="628"/>
      <c r="C1245" s="623"/>
      <c r="D1245" s="623" t="s">
        <v>848</v>
      </c>
      <c r="E1245" s="627" t="s">
        <v>254</v>
      </c>
      <c r="F1245" s="626"/>
      <c r="G1245" s="623"/>
      <c r="H1245" s="627"/>
      <c r="I1245" s="618"/>
      <c r="J1245" s="618"/>
      <c r="K1245" s="618"/>
      <c r="L1245" s="618"/>
      <c r="M1245" s="618"/>
      <c r="N1245" s="618"/>
      <c r="O1245" s="618"/>
      <c r="P1245" s="618"/>
      <c r="Q1245" s="662"/>
      <c r="R1245" s="618"/>
      <c r="S1245" s="621"/>
      <c r="T1245" s="618"/>
    </row>
    <row r="1246" spans="1:20">
      <c r="A1246" s="630">
        <v>6152160</v>
      </c>
      <c r="B1246" s="628"/>
      <c r="C1246" s="623"/>
      <c r="D1246" s="623"/>
      <c r="E1246" s="627" t="s">
        <v>1138</v>
      </c>
      <c r="F1246" s="634" t="s">
        <v>2101</v>
      </c>
      <c r="G1246" s="629">
        <v>615</v>
      </c>
      <c r="H1246" s="635">
        <v>2160</v>
      </c>
      <c r="I1246" s="618"/>
      <c r="J1246" s="619" t="s">
        <v>1138</v>
      </c>
      <c r="K1246" s="618"/>
      <c r="L1246" s="619">
        <v>126</v>
      </c>
      <c r="M1246" s="620">
        <v>117</v>
      </c>
      <c r="N1246" s="619"/>
      <c r="O1246" s="619">
        <v>13</v>
      </c>
      <c r="P1246" s="619" t="s">
        <v>1098</v>
      </c>
      <c r="Q1246" s="662" t="s">
        <v>1043</v>
      </c>
      <c r="R1246" s="618"/>
      <c r="S1246" s="621" t="s">
        <v>2075</v>
      </c>
      <c r="T1246" s="619" t="s">
        <v>1041</v>
      </c>
    </row>
    <row r="1247" spans="1:20">
      <c r="A1247" s="630">
        <v>6102160</v>
      </c>
      <c r="B1247" s="628"/>
      <c r="C1247" s="623"/>
      <c r="D1247" s="623"/>
      <c r="E1247" s="627" t="s">
        <v>1140</v>
      </c>
      <c r="F1247" s="634" t="s">
        <v>2102</v>
      </c>
      <c r="G1247" s="629">
        <v>610</v>
      </c>
      <c r="H1247" s="635">
        <v>2160</v>
      </c>
      <c r="I1247" s="618"/>
      <c r="J1247" s="619" t="s">
        <v>1140</v>
      </c>
      <c r="K1247" s="618"/>
      <c r="L1247" s="619">
        <v>122</v>
      </c>
      <c r="M1247" s="620">
        <v>113</v>
      </c>
      <c r="N1247" s="619"/>
      <c r="O1247" s="619">
        <v>13</v>
      </c>
      <c r="P1247" s="619" t="s">
        <v>1098</v>
      </c>
      <c r="Q1247" s="662" t="s">
        <v>1043</v>
      </c>
      <c r="R1247" s="618"/>
      <c r="S1247" s="621" t="s">
        <v>2075</v>
      </c>
      <c r="T1247" s="619" t="s">
        <v>39</v>
      </c>
    </row>
    <row r="1248" spans="1:20">
      <c r="A1248" s="630">
        <v>6002160</v>
      </c>
      <c r="B1248" s="628"/>
      <c r="C1248" s="623"/>
      <c r="D1248" s="623"/>
      <c r="E1248" s="627" t="s">
        <v>1869</v>
      </c>
      <c r="F1248" s="634" t="s">
        <v>2103</v>
      </c>
      <c r="G1248" s="629">
        <v>600</v>
      </c>
      <c r="H1248" s="635">
        <v>2160</v>
      </c>
      <c r="I1248" s="618"/>
      <c r="J1248" s="619" t="s">
        <v>1869</v>
      </c>
      <c r="K1248" s="618"/>
      <c r="L1248" s="619">
        <v>126</v>
      </c>
      <c r="M1248" s="620">
        <v>117</v>
      </c>
      <c r="N1248" s="619"/>
      <c r="O1248" s="619">
        <v>13</v>
      </c>
      <c r="P1248" s="619" t="s">
        <v>1098</v>
      </c>
      <c r="Q1248" s="662"/>
      <c r="R1248" s="618"/>
      <c r="S1248" s="621" t="s">
        <v>2075</v>
      </c>
      <c r="T1248" s="619" t="s">
        <v>1048</v>
      </c>
    </row>
    <row r="1249" spans="1:20">
      <c r="A1249" s="622"/>
      <c r="B1249" s="628"/>
      <c r="C1249" s="623"/>
      <c r="D1249" s="623" t="s">
        <v>851</v>
      </c>
      <c r="E1249" s="627" t="s">
        <v>1050</v>
      </c>
      <c r="F1249" s="626"/>
      <c r="G1249" s="623"/>
      <c r="H1249" s="627"/>
      <c r="I1249" s="618"/>
      <c r="J1249" s="618"/>
      <c r="K1249" s="618"/>
      <c r="L1249" s="618"/>
      <c r="M1249" s="618"/>
      <c r="N1249" s="618"/>
      <c r="O1249" s="618"/>
      <c r="P1249" s="618"/>
      <c r="Q1249" s="662"/>
      <c r="R1249" s="618"/>
      <c r="S1249" s="621"/>
      <c r="T1249" s="618"/>
    </row>
    <row r="1250" spans="1:20">
      <c r="A1250" s="630">
        <v>7342160</v>
      </c>
      <c r="B1250" s="628"/>
      <c r="C1250" s="623"/>
      <c r="D1250" s="623"/>
      <c r="E1250" s="627" t="s">
        <v>1146</v>
      </c>
      <c r="F1250" s="634" t="s">
        <v>2104</v>
      </c>
      <c r="G1250" s="629">
        <v>734</v>
      </c>
      <c r="H1250" s="635">
        <v>2160</v>
      </c>
      <c r="I1250" s="618"/>
      <c r="J1250" s="619" t="s">
        <v>1146</v>
      </c>
      <c r="K1250" s="618"/>
      <c r="L1250" s="619">
        <v>131</v>
      </c>
      <c r="M1250" s="620">
        <v>122</v>
      </c>
      <c r="N1250" s="619"/>
      <c r="O1250" s="619">
        <v>13</v>
      </c>
      <c r="P1250" s="619" t="s">
        <v>760</v>
      </c>
      <c r="Q1250" s="662"/>
      <c r="R1250" s="618"/>
      <c r="S1250" s="621" t="s">
        <v>2075</v>
      </c>
      <c r="T1250" s="619" t="s">
        <v>1051</v>
      </c>
    </row>
    <row r="1251" spans="1:20">
      <c r="A1251" s="630">
        <v>7352160</v>
      </c>
      <c r="B1251" s="628"/>
      <c r="C1251" s="623"/>
      <c r="D1251" s="623"/>
      <c r="E1251" s="627" t="s">
        <v>1148</v>
      </c>
      <c r="F1251" s="634" t="s">
        <v>2105</v>
      </c>
      <c r="G1251" s="629">
        <v>735</v>
      </c>
      <c r="H1251" s="635">
        <v>2160</v>
      </c>
      <c r="I1251" s="618"/>
      <c r="J1251" s="619" t="s">
        <v>1148</v>
      </c>
      <c r="K1251" s="618"/>
      <c r="L1251" s="619">
        <v>131</v>
      </c>
      <c r="M1251" s="620">
        <v>122</v>
      </c>
      <c r="N1251" s="619"/>
      <c r="O1251" s="619">
        <v>13</v>
      </c>
      <c r="P1251" s="619" t="s">
        <v>760</v>
      </c>
      <c r="Q1251" s="662"/>
      <c r="R1251" s="618"/>
      <c r="S1251" s="621" t="s">
        <v>2075</v>
      </c>
      <c r="T1251" s="619" t="s">
        <v>1053</v>
      </c>
    </row>
    <row r="1252" spans="1:20">
      <c r="A1252" s="630">
        <v>7302160</v>
      </c>
      <c r="B1252" s="628"/>
      <c r="C1252" s="623"/>
      <c r="D1252" s="623"/>
      <c r="E1252" s="627" t="s">
        <v>1150</v>
      </c>
      <c r="F1252" s="634" t="s">
        <v>2106</v>
      </c>
      <c r="G1252" s="629">
        <v>730</v>
      </c>
      <c r="H1252" s="635">
        <v>2160</v>
      </c>
      <c r="I1252" s="618"/>
      <c r="J1252" s="619" t="s">
        <v>1150</v>
      </c>
      <c r="K1252" s="618"/>
      <c r="L1252" s="619">
        <v>131</v>
      </c>
      <c r="M1252" s="620">
        <v>122</v>
      </c>
      <c r="N1252" s="619"/>
      <c r="O1252" s="619">
        <v>13</v>
      </c>
      <c r="P1252" s="619" t="s">
        <v>760</v>
      </c>
      <c r="Q1252" s="662"/>
      <c r="R1252" s="618"/>
      <c r="S1252" s="621" t="s">
        <v>2075</v>
      </c>
      <c r="T1252" s="619" t="s">
        <v>1055</v>
      </c>
    </row>
    <row r="1253" spans="1:20">
      <c r="A1253" s="630">
        <v>7002160</v>
      </c>
      <c r="B1253" s="628"/>
      <c r="C1253" s="623"/>
      <c r="D1253" s="623"/>
      <c r="E1253" s="627" t="s">
        <v>1152</v>
      </c>
      <c r="F1253" s="634" t="s">
        <v>2107</v>
      </c>
      <c r="G1253" s="629">
        <v>700</v>
      </c>
      <c r="H1253" s="635">
        <v>2160</v>
      </c>
      <c r="I1253" s="618"/>
      <c r="J1253" s="619" t="s">
        <v>1152</v>
      </c>
      <c r="K1253" s="618"/>
      <c r="L1253" s="619">
        <v>132</v>
      </c>
      <c r="M1253" s="620">
        <v>123</v>
      </c>
      <c r="N1253" s="619"/>
      <c r="O1253" s="619">
        <v>13</v>
      </c>
      <c r="P1253" s="619" t="s">
        <v>760</v>
      </c>
      <c r="Q1253" s="662"/>
      <c r="R1253" s="618"/>
      <c r="S1253" s="621" t="s">
        <v>2075</v>
      </c>
      <c r="T1253" s="619" t="s">
        <v>1057</v>
      </c>
    </row>
    <row r="1254" spans="1:20">
      <c r="A1254" s="622"/>
      <c r="B1254" s="628"/>
      <c r="C1254" s="623"/>
      <c r="D1254" s="623" t="s">
        <v>854</v>
      </c>
      <c r="E1254" s="627" t="s">
        <v>256</v>
      </c>
      <c r="F1254" s="626"/>
      <c r="G1254" s="623"/>
      <c r="H1254" s="627"/>
      <c r="I1254" s="618"/>
      <c r="J1254" s="618"/>
      <c r="K1254" s="618"/>
      <c r="L1254" s="618"/>
      <c r="M1254" s="618"/>
      <c r="N1254" s="618"/>
      <c r="O1254" s="618"/>
      <c r="P1254" s="618"/>
      <c r="Q1254" s="662"/>
      <c r="R1254" s="618"/>
      <c r="S1254" s="621"/>
      <c r="T1254" s="618"/>
    </row>
    <row r="1255" spans="1:20">
      <c r="A1255" s="630">
        <v>8952160</v>
      </c>
      <c r="B1255" s="628"/>
      <c r="C1255" s="623"/>
      <c r="D1255" s="623"/>
      <c r="E1255" s="627" t="s">
        <v>1154</v>
      </c>
      <c r="F1255" s="634" t="s">
        <v>2108</v>
      </c>
      <c r="G1255" s="629">
        <v>895</v>
      </c>
      <c r="H1255" s="635">
        <v>2160</v>
      </c>
      <c r="I1255" s="618"/>
      <c r="J1255" s="619" t="s">
        <v>1154</v>
      </c>
      <c r="K1255" s="618"/>
      <c r="L1255" s="619">
        <v>139</v>
      </c>
      <c r="M1255" s="620">
        <v>129</v>
      </c>
      <c r="N1255" s="619"/>
      <c r="O1255" s="619">
        <v>13</v>
      </c>
      <c r="P1255" s="619" t="s">
        <v>1098</v>
      </c>
      <c r="Q1255" s="662"/>
      <c r="R1255" s="618"/>
      <c r="S1255" s="621" t="s">
        <v>2075</v>
      </c>
      <c r="T1255" s="619" t="s">
        <v>1059</v>
      </c>
    </row>
    <row r="1256" spans="1:20">
      <c r="A1256" s="630">
        <v>8002160</v>
      </c>
      <c r="B1256" s="628"/>
      <c r="C1256" s="623"/>
      <c r="D1256" s="623"/>
      <c r="E1256" s="627" t="s">
        <v>1156</v>
      </c>
      <c r="F1256" s="634" t="s">
        <v>2109</v>
      </c>
      <c r="G1256" s="629">
        <v>800</v>
      </c>
      <c r="H1256" s="635">
        <v>2160</v>
      </c>
      <c r="I1256" s="618"/>
      <c r="J1256" s="619" t="s">
        <v>1156</v>
      </c>
      <c r="K1256" s="618"/>
      <c r="L1256" s="619">
        <v>139</v>
      </c>
      <c r="M1256" s="620">
        <v>129</v>
      </c>
      <c r="N1256" s="619"/>
      <c r="O1256" s="619">
        <v>13</v>
      </c>
      <c r="P1256" s="619" t="s">
        <v>1098</v>
      </c>
      <c r="Q1256" s="662"/>
      <c r="R1256" s="618"/>
      <c r="S1256" s="621" t="s">
        <v>2075</v>
      </c>
      <c r="T1256" s="619" t="s">
        <v>1061</v>
      </c>
    </row>
    <row r="1257" spans="1:20">
      <c r="A1257" s="622"/>
      <c r="B1257" s="628"/>
      <c r="C1257" s="623"/>
      <c r="D1257" s="623" t="s">
        <v>857</v>
      </c>
      <c r="E1257" s="627" t="s">
        <v>1063</v>
      </c>
      <c r="F1257" s="626"/>
      <c r="G1257" s="623"/>
      <c r="H1257" s="627"/>
      <c r="I1257" s="618"/>
      <c r="J1257" s="618"/>
      <c r="K1257" s="618"/>
      <c r="L1257" s="618"/>
      <c r="M1257" s="618"/>
      <c r="N1257" s="618"/>
      <c r="O1257" s="618"/>
      <c r="P1257" s="618"/>
      <c r="Q1257" s="662"/>
      <c r="R1257" s="618"/>
      <c r="S1257" s="621"/>
      <c r="T1257" s="618"/>
    </row>
    <row r="1258" spans="1:20">
      <c r="A1258" s="630">
        <v>2102160</v>
      </c>
      <c r="B1258" s="628"/>
      <c r="C1258" s="623"/>
      <c r="D1258" s="623"/>
      <c r="E1258" s="627" t="s">
        <v>1158</v>
      </c>
      <c r="F1258" s="634" t="s">
        <v>2110</v>
      </c>
      <c r="G1258" s="629">
        <v>210</v>
      </c>
      <c r="H1258" s="635">
        <v>2160</v>
      </c>
      <c r="I1258" s="618"/>
      <c r="J1258" s="619" t="s">
        <v>1158</v>
      </c>
      <c r="K1258" s="618"/>
      <c r="L1258" s="619">
        <v>89</v>
      </c>
      <c r="M1258" s="620">
        <v>84</v>
      </c>
      <c r="N1258" s="619"/>
      <c r="O1258" s="619">
        <v>13</v>
      </c>
      <c r="P1258" s="619" t="s">
        <v>1098</v>
      </c>
      <c r="Q1258" s="662" t="s">
        <v>1002</v>
      </c>
      <c r="R1258" s="618"/>
      <c r="S1258" s="621" t="s">
        <v>2075</v>
      </c>
      <c r="T1258" s="619" t="s">
        <v>1064</v>
      </c>
    </row>
    <row r="1259" spans="1:20">
      <c r="A1259" s="630">
        <v>2202160</v>
      </c>
      <c r="B1259" s="628"/>
      <c r="C1259" s="623"/>
      <c r="D1259" s="623"/>
      <c r="E1259" s="627" t="s">
        <v>1160</v>
      </c>
      <c r="F1259" s="634" t="s">
        <v>2111</v>
      </c>
      <c r="G1259" s="629">
        <v>220</v>
      </c>
      <c r="H1259" s="635">
        <v>2160</v>
      </c>
      <c r="I1259" s="618"/>
      <c r="J1259" s="619" t="s">
        <v>1160</v>
      </c>
      <c r="K1259" s="618"/>
      <c r="L1259" s="619">
        <v>90</v>
      </c>
      <c r="M1259" s="620">
        <v>85</v>
      </c>
      <c r="N1259" s="619"/>
      <c r="O1259" s="619">
        <v>13</v>
      </c>
      <c r="P1259" s="619" t="s">
        <v>1098</v>
      </c>
      <c r="Q1259" s="662" t="s">
        <v>1002</v>
      </c>
      <c r="R1259" s="618"/>
      <c r="S1259" s="621" t="s">
        <v>2075</v>
      </c>
      <c r="T1259" s="619" t="s">
        <v>1066</v>
      </c>
    </row>
    <row r="1260" spans="1:20">
      <c r="A1260" s="630">
        <v>2252160</v>
      </c>
      <c r="B1260" s="628"/>
      <c r="C1260" s="623"/>
      <c r="D1260" s="623"/>
      <c r="E1260" s="627" t="s">
        <v>1162</v>
      </c>
      <c r="F1260" s="634" t="s">
        <v>2112</v>
      </c>
      <c r="G1260" s="629">
        <v>225</v>
      </c>
      <c r="H1260" s="635">
        <v>2160</v>
      </c>
      <c r="I1260" s="618"/>
      <c r="J1260" s="619" t="s">
        <v>1162</v>
      </c>
      <c r="K1260" s="618"/>
      <c r="L1260" s="619">
        <v>91</v>
      </c>
      <c r="M1260" s="620">
        <v>86</v>
      </c>
      <c r="N1260" s="619"/>
      <c r="O1260" s="619">
        <v>13</v>
      </c>
      <c r="P1260" s="619" t="s">
        <v>1098</v>
      </c>
      <c r="Q1260" s="662" t="s">
        <v>1002</v>
      </c>
      <c r="R1260" s="618"/>
      <c r="S1260" s="621" t="s">
        <v>2075</v>
      </c>
      <c r="T1260" s="619" t="s">
        <v>23</v>
      </c>
    </row>
    <row r="1261" spans="1:20">
      <c r="A1261" s="622"/>
      <c r="B1261" s="628"/>
      <c r="C1261" s="623"/>
      <c r="D1261" s="623"/>
      <c r="E1261" s="627" t="s">
        <v>1164</v>
      </c>
      <c r="F1261" s="626"/>
      <c r="G1261" s="623"/>
      <c r="H1261" s="627"/>
      <c r="I1261" s="618"/>
      <c r="J1261" s="618"/>
      <c r="K1261" s="618"/>
      <c r="L1261" s="618"/>
      <c r="M1261" s="618"/>
      <c r="N1261" s="618"/>
      <c r="O1261" s="618"/>
      <c r="P1261" s="618"/>
      <c r="Q1261" s="662"/>
      <c r="R1261" s="618"/>
      <c r="S1261" s="621"/>
      <c r="T1261" s="618"/>
    </row>
    <row r="1262" spans="1:20">
      <c r="A1262" s="630">
        <v>2312160</v>
      </c>
      <c r="B1262" s="628"/>
      <c r="C1262" s="623"/>
      <c r="D1262" s="623"/>
      <c r="E1262" s="627" t="s">
        <v>1165</v>
      </c>
      <c r="F1262" s="634" t="s">
        <v>2113</v>
      </c>
      <c r="G1262" s="629">
        <v>231</v>
      </c>
      <c r="H1262" s="635">
        <v>2160</v>
      </c>
      <c r="I1262" s="618"/>
      <c r="J1262" s="619" t="s">
        <v>1165</v>
      </c>
      <c r="K1262" s="618"/>
      <c r="L1262" s="619">
        <v>92</v>
      </c>
      <c r="M1262" s="620">
        <v>87</v>
      </c>
      <c r="N1262" s="619"/>
      <c r="O1262" s="619">
        <v>13</v>
      </c>
      <c r="P1262" s="619" t="s">
        <v>1098</v>
      </c>
      <c r="Q1262" s="662" t="s">
        <v>1002</v>
      </c>
      <c r="R1262" s="618"/>
      <c r="S1262" s="621" t="s">
        <v>2075</v>
      </c>
      <c r="T1262" s="619" t="s">
        <v>1072</v>
      </c>
    </row>
    <row r="1263" spans="1:20">
      <c r="A1263" s="630">
        <v>2332160</v>
      </c>
      <c r="B1263" s="628"/>
      <c r="C1263" s="623"/>
      <c r="D1263" s="623"/>
      <c r="E1263" s="627" t="s">
        <v>1167</v>
      </c>
      <c r="F1263" s="634" t="s">
        <v>2114</v>
      </c>
      <c r="G1263" s="629">
        <v>233</v>
      </c>
      <c r="H1263" s="635">
        <v>2160</v>
      </c>
      <c r="I1263" s="618"/>
      <c r="J1263" s="619" t="s">
        <v>1167</v>
      </c>
      <c r="K1263" s="618"/>
      <c r="L1263" s="619">
        <v>92</v>
      </c>
      <c r="M1263" s="620">
        <v>87</v>
      </c>
      <c r="N1263" s="619"/>
      <c r="O1263" s="619">
        <v>13</v>
      </c>
      <c r="P1263" s="619" t="s">
        <v>1098</v>
      </c>
      <c r="Q1263" s="662" t="s">
        <v>1002</v>
      </c>
      <c r="R1263" s="618"/>
      <c r="S1263" s="621" t="s">
        <v>2075</v>
      </c>
      <c r="T1263" s="619" t="s">
        <v>1169</v>
      </c>
    </row>
    <row r="1264" spans="1:20">
      <c r="A1264" s="630">
        <v>2392160</v>
      </c>
      <c r="B1264" s="628"/>
      <c r="C1264" s="623"/>
      <c r="D1264" s="623"/>
      <c r="E1264" s="627" t="s">
        <v>1170</v>
      </c>
      <c r="F1264" s="634" t="s">
        <v>2115</v>
      </c>
      <c r="G1264" s="629">
        <v>239</v>
      </c>
      <c r="H1264" s="635">
        <v>2160</v>
      </c>
      <c r="I1264" s="618"/>
      <c r="J1264" s="619" t="s">
        <v>1170</v>
      </c>
      <c r="K1264" s="618"/>
      <c r="L1264" s="619">
        <v>92</v>
      </c>
      <c r="M1264" s="620">
        <v>87</v>
      </c>
      <c r="N1264" s="619"/>
      <c r="O1264" s="619">
        <v>13</v>
      </c>
      <c r="P1264" s="619" t="s">
        <v>1098</v>
      </c>
      <c r="Q1264" s="662" t="s">
        <v>1002</v>
      </c>
      <c r="R1264" s="618"/>
      <c r="S1264" s="621" t="s">
        <v>2075</v>
      </c>
      <c r="T1264" s="619" t="s">
        <v>1078</v>
      </c>
    </row>
    <row r="1265" spans="1:20">
      <c r="A1265" s="630">
        <v>2502160</v>
      </c>
      <c r="B1265" s="628"/>
      <c r="C1265" s="623"/>
      <c r="D1265" s="623"/>
      <c r="E1265" s="627" t="s">
        <v>1172</v>
      </c>
      <c r="F1265" s="634" t="s">
        <v>2116</v>
      </c>
      <c r="G1265" s="629">
        <v>250</v>
      </c>
      <c r="H1265" s="635">
        <v>2160</v>
      </c>
      <c r="I1265" s="618"/>
      <c r="J1265" s="619" t="s">
        <v>1172</v>
      </c>
      <c r="K1265" s="618"/>
      <c r="L1265" s="619">
        <v>93</v>
      </c>
      <c r="M1265" s="620">
        <v>88</v>
      </c>
      <c r="N1265" s="619"/>
      <c r="O1265" s="619">
        <v>13</v>
      </c>
      <c r="P1265" s="619" t="s">
        <v>1098</v>
      </c>
      <c r="Q1265" s="662" t="s">
        <v>1002</v>
      </c>
      <c r="R1265" s="618"/>
      <c r="S1265" s="621" t="s">
        <v>2075</v>
      </c>
      <c r="T1265" s="619" t="s">
        <v>1079</v>
      </c>
    </row>
    <row r="1266" spans="1:20">
      <c r="A1266" s="630">
        <v>2602160</v>
      </c>
      <c r="B1266" s="628"/>
      <c r="C1266" s="623"/>
      <c r="D1266" s="623"/>
      <c r="E1266" s="627" t="s">
        <v>1174</v>
      </c>
      <c r="F1266" s="634" t="s">
        <v>2117</v>
      </c>
      <c r="G1266" s="629">
        <v>260</v>
      </c>
      <c r="H1266" s="635">
        <v>2160</v>
      </c>
      <c r="I1266" s="618"/>
      <c r="J1266" s="619" t="s">
        <v>1174</v>
      </c>
      <c r="K1266" s="618"/>
      <c r="L1266" s="619">
        <v>95</v>
      </c>
      <c r="M1266" s="620">
        <v>90</v>
      </c>
      <c r="N1266" s="619"/>
      <c r="O1266" s="619">
        <v>13</v>
      </c>
      <c r="P1266" s="619" t="s">
        <v>1098</v>
      </c>
      <c r="Q1266" s="662" t="s">
        <v>1002</v>
      </c>
      <c r="R1266" s="618"/>
      <c r="S1266" s="621" t="s">
        <v>2075</v>
      </c>
      <c r="T1266" s="619" t="s">
        <v>1081</v>
      </c>
    </row>
    <row r="1267" spans="1:20">
      <c r="A1267" s="630">
        <v>2702160</v>
      </c>
      <c r="B1267" s="628"/>
      <c r="C1267" s="623"/>
      <c r="D1267" s="623"/>
      <c r="E1267" s="627" t="s">
        <v>1176</v>
      </c>
      <c r="F1267" s="634" t="s">
        <v>2118</v>
      </c>
      <c r="G1267" s="629">
        <v>270</v>
      </c>
      <c r="H1267" s="635">
        <v>2160</v>
      </c>
      <c r="I1267" s="618"/>
      <c r="J1267" s="619" t="s">
        <v>1176</v>
      </c>
      <c r="K1267" s="618"/>
      <c r="L1267" s="619">
        <v>94</v>
      </c>
      <c r="M1267" s="620">
        <v>89</v>
      </c>
      <c r="N1267" s="619"/>
      <c r="O1267" s="619">
        <v>13</v>
      </c>
      <c r="P1267" s="619" t="s">
        <v>1098</v>
      </c>
      <c r="Q1267" s="662" t="s">
        <v>1002</v>
      </c>
      <c r="R1267" s="618"/>
      <c r="S1267" s="621" t="s">
        <v>2075</v>
      </c>
      <c r="T1267" s="619" t="s">
        <v>1083</v>
      </c>
    </row>
    <row r="1268" spans="1:20">
      <c r="A1268" s="630">
        <v>2812160</v>
      </c>
      <c r="B1268" s="628"/>
      <c r="C1268" s="623"/>
      <c r="D1268" s="623"/>
      <c r="E1268" s="627" t="s">
        <v>1178</v>
      </c>
      <c r="F1268" s="634" t="s">
        <v>2119</v>
      </c>
      <c r="G1268" s="629">
        <v>281</v>
      </c>
      <c r="H1268" s="635">
        <v>2160</v>
      </c>
      <c r="I1268" s="618"/>
      <c r="J1268" s="619" t="s">
        <v>1178</v>
      </c>
      <c r="K1268" s="618"/>
      <c r="L1268" s="619">
        <v>95</v>
      </c>
      <c r="M1268" s="620">
        <v>90</v>
      </c>
      <c r="N1268" s="619"/>
      <c r="O1268" s="619">
        <v>13</v>
      </c>
      <c r="P1268" s="619" t="s">
        <v>1098</v>
      </c>
      <c r="Q1268" s="662" t="s">
        <v>1002</v>
      </c>
      <c r="R1268" s="618"/>
      <c r="S1268" s="621" t="s">
        <v>2075</v>
      </c>
      <c r="T1268" s="619" t="s">
        <v>1085</v>
      </c>
    </row>
    <row r="1269" spans="1:20">
      <c r="A1269" s="630">
        <v>2822160</v>
      </c>
      <c r="B1269" s="628"/>
      <c r="C1269" s="623"/>
      <c r="D1269" s="623"/>
      <c r="E1269" s="627" t="s">
        <v>1180</v>
      </c>
      <c r="F1269" s="634" t="s">
        <v>2120</v>
      </c>
      <c r="G1269" s="629">
        <v>282</v>
      </c>
      <c r="H1269" s="635">
        <v>2160</v>
      </c>
      <c r="I1269" s="618"/>
      <c r="J1269" s="619" t="s">
        <v>1180</v>
      </c>
      <c r="K1269" s="618"/>
      <c r="L1269" s="619">
        <v>95</v>
      </c>
      <c r="M1269" s="620">
        <v>90</v>
      </c>
      <c r="N1269" s="619"/>
      <c r="O1269" s="619">
        <v>13</v>
      </c>
      <c r="P1269" s="619" t="s">
        <v>1098</v>
      </c>
      <c r="Q1269" s="662" t="s">
        <v>1002</v>
      </c>
      <c r="R1269" s="618"/>
      <c r="S1269" s="621" t="s">
        <v>2075</v>
      </c>
      <c r="T1269" s="619" t="s">
        <v>1087</v>
      </c>
    </row>
    <row r="1270" spans="1:20">
      <c r="A1270" s="630">
        <v>2902160</v>
      </c>
      <c r="B1270" s="670"/>
      <c r="C1270" s="632"/>
      <c r="D1270" s="632"/>
      <c r="E1270" s="637" t="s">
        <v>1182</v>
      </c>
      <c r="F1270" s="631" t="s">
        <v>2121</v>
      </c>
      <c r="G1270" s="661">
        <v>290</v>
      </c>
      <c r="H1270" s="633">
        <v>2160</v>
      </c>
      <c r="I1270" s="618"/>
      <c r="J1270" s="619" t="s">
        <v>1182</v>
      </c>
      <c r="K1270" s="618"/>
      <c r="L1270" s="619">
        <v>95</v>
      </c>
      <c r="M1270" s="620">
        <v>90</v>
      </c>
      <c r="N1270" s="619"/>
      <c r="O1270" s="619">
        <v>13</v>
      </c>
      <c r="P1270" s="619" t="s">
        <v>1098</v>
      </c>
      <c r="Q1270" s="662" t="s">
        <v>1002</v>
      </c>
      <c r="R1270" s="618"/>
      <c r="S1270" s="621" t="s">
        <v>2075</v>
      </c>
      <c r="T1270" s="619" t="s">
        <v>1090</v>
      </c>
    </row>
    <row r="1271" spans="1:20">
      <c r="A1271" s="622"/>
      <c r="B1271" s="628"/>
      <c r="C1271" s="629">
        <v>53</v>
      </c>
      <c r="D1271" s="784" t="s">
        <v>2122</v>
      </c>
      <c r="E1271" s="775"/>
      <c r="F1271" s="626"/>
      <c r="G1271" s="623"/>
      <c r="H1271" s="627"/>
      <c r="I1271" s="618"/>
      <c r="J1271" s="618"/>
      <c r="K1271" s="618"/>
      <c r="L1271" s="618"/>
      <c r="M1271" s="618"/>
      <c r="N1271" s="618"/>
      <c r="O1271" s="618"/>
      <c r="P1271" s="618"/>
      <c r="Q1271" s="662"/>
      <c r="R1271" s="618"/>
      <c r="S1271" s="621"/>
      <c r="T1271" s="618"/>
    </row>
    <row r="1272" spans="1:20">
      <c r="A1272" s="622"/>
      <c r="B1272" s="628"/>
      <c r="C1272" s="623"/>
      <c r="D1272" s="623" t="s">
        <v>756</v>
      </c>
      <c r="E1272" s="627" t="s">
        <v>244</v>
      </c>
      <c r="F1272" s="626"/>
      <c r="G1272" s="623"/>
      <c r="H1272" s="627"/>
      <c r="I1272" s="618"/>
      <c r="J1272" s="618"/>
      <c r="K1272" s="618"/>
      <c r="L1272" s="618"/>
      <c r="M1272" s="618"/>
      <c r="N1272" s="618"/>
      <c r="O1272" s="618"/>
      <c r="P1272" s="618"/>
      <c r="Q1272" s="662"/>
      <c r="R1272" s="618"/>
      <c r="S1272" s="621"/>
      <c r="T1272" s="618"/>
    </row>
    <row r="1273" spans="1:20">
      <c r="A1273" s="630">
        <v>1112170</v>
      </c>
      <c r="B1273" s="628"/>
      <c r="C1273" s="623"/>
      <c r="D1273" s="623"/>
      <c r="E1273" s="627" t="s">
        <v>2123</v>
      </c>
      <c r="F1273" s="634" t="s">
        <v>2124</v>
      </c>
      <c r="G1273" s="629">
        <v>111</v>
      </c>
      <c r="H1273" s="635">
        <v>2170</v>
      </c>
      <c r="I1273" s="618"/>
      <c r="J1273" s="619" t="s">
        <v>2123</v>
      </c>
      <c r="K1273" s="618"/>
      <c r="L1273" s="619">
        <v>81</v>
      </c>
      <c r="M1273" s="620">
        <v>76</v>
      </c>
      <c r="N1273" s="619"/>
      <c r="O1273" s="619">
        <v>13</v>
      </c>
      <c r="P1273" s="619" t="s">
        <v>1098</v>
      </c>
      <c r="Q1273" s="662" t="s">
        <v>1002</v>
      </c>
      <c r="R1273" s="618"/>
      <c r="S1273" s="621" t="s">
        <v>2125</v>
      </c>
      <c r="T1273" s="619" t="s">
        <v>2126</v>
      </c>
    </row>
    <row r="1274" spans="1:20">
      <c r="A1274" s="630">
        <v>1132170</v>
      </c>
      <c r="B1274" s="628"/>
      <c r="C1274" s="623"/>
      <c r="D1274" s="623"/>
      <c r="E1274" s="627" t="s">
        <v>2127</v>
      </c>
      <c r="F1274" s="634" t="s">
        <v>2128</v>
      </c>
      <c r="G1274" s="629">
        <v>113</v>
      </c>
      <c r="H1274" s="635">
        <v>2170</v>
      </c>
      <c r="I1274" s="618"/>
      <c r="J1274" s="619" t="s">
        <v>2127</v>
      </c>
      <c r="K1274" s="618"/>
      <c r="L1274" s="619">
        <v>83</v>
      </c>
      <c r="M1274" s="620">
        <v>78</v>
      </c>
      <c r="N1274" s="619"/>
      <c r="O1274" s="619">
        <v>13</v>
      </c>
      <c r="P1274" s="619" t="s">
        <v>1098</v>
      </c>
      <c r="Q1274" s="662" t="s">
        <v>1002</v>
      </c>
      <c r="R1274" s="618"/>
      <c r="S1274" s="621" t="s">
        <v>2125</v>
      </c>
      <c r="T1274" s="619" t="s">
        <v>2129</v>
      </c>
    </row>
    <row r="1275" spans="1:20">
      <c r="A1275" s="630">
        <v>1152170</v>
      </c>
      <c r="B1275" s="628"/>
      <c r="C1275" s="623"/>
      <c r="D1275" s="623"/>
      <c r="E1275" s="627" t="s">
        <v>2130</v>
      </c>
      <c r="F1275" s="634" t="s">
        <v>2131</v>
      </c>
      <c r="G1275" s="629">
        <v>115</v>
      </c>
      <c r="H1275" s="635">
        <v>2170</v>
      </c>
      <c r="I1275" s="618"/>
      <c r="J1275" s="619" t="s">
        <v>2130</v>
      </c>
      <c r="K1275" s="618"/>
      <c r="L1275" s="619">
        <v>86</v>
      </c>
      <c r="M1275" s="620">
        <v>81</v>
      </c>
      <c r="N1275" s="619"/>
      <c r="O1275" s="619">
        <v>13</v>
      </c>
      <c r="P1275" s="619" t="s">
        <v>1098</v>
      </c>
      <c r="Q1275" s="662" t="s">
        <v>1002</v>
      </c>
      <c r="R1275" s="618"/>
      <c r="S1275" s="621" t="s">
        <v>2125</v>
      </c>
      <c r="T1275" s="619" t="s">
        <v>1101</v>
      </c>
    </row>
    <row r="1276" spans="1:20">
      <c r="A1276" s="630">
        <v>1002170</v>
      </c>
      <c r="B1276" s="628"/>
      <c r="C1276" s="623"/>
      <c r="D1276" s="623"/>
      <c r="E1276" s="627" t="s">
        <v>2132</v>
      </c>
      <c r="F1276" s="634" t="s">
        <v>2133</v>
      </c>
      <c r="G1276" s="629">
        <v>100</v>
      </c>
      <c r="H1276" s="635">
        <v>2170</v>
      </c>
      <c r="I1276" s="618"/>
      <c r="J1276" s="619" t="s">
        <v>2132</v>
      </c>
      <c r="K1276" s="618"/>
      <c r="L1276" s="619">
        <v>86</v>
      </c>
      <c r="M1276" s="620">
        <v>81</v>
      </c>
      <c r="N1276" s="619"/>
      <c r="O1276" s="619">
        <v>13</v>
      </c>
      <c r="P1276" s="619" t="s">
        <v>1098</v>
      </c>
      <c r="Q1276" s="662" t="s">
        <v>1002</v>
      </c>
      <c r="R1276" s="618"/>
      <c r="S1276" s="621" t="s">
        <v>2125</v>
      </c>
      <c r="T1276" s="619" t="s">
        <v>1946</v>
      </c>
    </row>
    <row r="1277" spans="1:20">
      <c r="A1277" s="630">
        <v>1402170</v>
      </c>
      <c r="B1277" s="628"/>
      <c r="C1277" s="623"/>
      <c r="D1277" s="623"/>
      <c r="E1277" s="627" t="s">
        <v>1857</v>
      </c>
      <c r="F1277" s="634" t="s">
        <v>2134</v>
      </c>
      <c r="G1277" s="629">
        <v>140</v>
      </c>
      <c r="H1277" s="635">
        <v>2170</v>
      </c>
      <c r="I1277" s="618"/>
      <c r="J1277" s="619" t="s">
        <v>1857</v>
      </c>
      <c r="K1277" s="618"/>
      <c r="L1277" s="619">
        <v>86</v>
      </c>
      <c r="M1277" s="620">
        <v>81</v>
      </c>
      <c r="N1277" s="619"/>
      <c r="O1277" s="619">
        <v>13</v>
      </c>
      <c r="P1277" s="619" t="s">
        <v>1098</v>
      </c>
      <c r="Q1277" s="662" t="s">
        <v>1002</v>
      </c>
      <c r="R1277" s="618"/>
      <c r="S1277" s="621" t="s">
        <v>2125</v>
      </c>
      <c r="T1277" s="619" t="s">
        <v>1017</v>
      </c>
    </row>
    <row r="1278" spans="1:20">
      <c r="A1278" s="630">
        <v>3002170</v>
      </c>
      <c r="B1278" s="628"/>
      <c r="C1278" s="623"/>
      <c r="D1278" s="623" t="s">
        <v>775</v>
      </c>
      <c r="E1278" s="627" t="s">
        <v>1112</v>
      </c>
      <c r="F1278" s="634" t="s">
        <v>2135</v>
      </c>
      <c r="G1278" s="629">
        <v>300</v>
      </c>
      <c r="H1278" s="635">
        <v>2170</v>
      </c>
      <c r="I1278" s="618"/>
      <c r="J1278" s="619" t="s">
        <v>1112</v>
      </c>
      <c r="K1278" s="618"/>
      <c r="L1278" s="619">
        <v>101</v>
      </c>
      <c r="M1278" s="620">
        <v>96</v>
      </c>
      <c r="N1278" s="619"/>
      <c r="O1278" s="619">
        <v>13</v>
      </c>
      <c r="P1278" s="619" t="s">
        <v>1098</v>
      </c>
      <c r="Q1278" s="662"/>
      <c r="R1278" s="618"/>
      <c r="S1278" s="621" t="s">
        <v>2125</v>
      </c>
      <c r="T1278" s="619" t="s">
        <v>1112</v>
      </c>
    </row>
    <row r="1279" spans="1:20">
      <c r="A1279" s="622"/>
      <c r="B1279" s="628"/>
      <c r="C1279" s="623"/>
      <c r="D1279" s="623" t="s">
        <v>799</v>
      </c>
      <c r="E1279" s="627" t="s">
        <v>250</v>
      </c>
      <c r="F1279" s="626"/>
      <c r="G1279" s="623"/>
      <c r="H1279" s="627"/>
      <c r="I1279" s="618"/>
      <c r="J1279" s="618"/>
      <c r="K1279" s="618"/>
      <c r="L1279" s="618"/>
      <c r="M1279" s="618"/>
      <c r="N1279" s="618"/>
      <c r="O1279" s="618"/>
      <c r="P1279" s="618"/>
      <c r="Q1279" s="662"/>
      <c r="R1279" s="618"/>
      <c r="S1279" s="621"/>
      <c r="T1279" s="618"/>
    </row>
    <row r="1280" spans="1:20">
      <c r="A1280" s="630">
        <v>4302170</v>
      </c>
      <c r="B1280" s="628"/>
      <c r="C1280" s="623"/>
      <c r="D1280" s="623"/>
      <c r="E1280" s="627" t="s">
        <v>1114</v>
      </c>
      <c r="F1280" s="634" t="s">
        <v>2136</v>
      </c>
      <c r="G1280" s="629">
        <v>430</v>
      </c>
      <c r="H1280" s="635">
        <v>2170</v>
      </c>
      <c r="I1280" s="618"/>
      <c r="J1280" s="619" t="s">
        <v>1114</v>
      </c>
      <c r="K1280" s="618"/>
      <c r="L1280" s="619">
        <v>107</v>
      </c>
      <c r="M1280" s="620">
        <v>102</v>
      </c>
      <c r="N1280" s="619"/>
      <c r="O1280" s="619">
        <v>13</v>
      </c>
      <c r="P1280" s="619" t="s">
        <v>1098</v>
      </c>
      <c r="Q1280" s="662"/>
      <c r="R1280" s="618"/>
      <c r="S1280" s="621" t="s">
        <v>2125</v>
      </c>
      <c r="T1280" s="619" t="s">
        <v>1021</v>
      </c>
    </row>
    <row r="1281" spans="1:20">
      <c r="A1281" s="630">
        <v>4422170</v>
      </c>
      <c r="B1281" s="628"/>
      <c r="C1281" s="623"/>
      <c r="D1281" s="623"/>
      <c r="E1281" s="627" t="s">
        <v>1116</v>
      </c>
      <c r="F1281" s="634" t="s">
        <v>2137</v>
      </c>
      <c r="G1281" s="629">
        <v>442</v>
      </c>
      <c r="H1281" s="635">
        <v>2170</v>
      </c>
      <c r="I1281" s="618"/>
      <c r="J1281" s="619" t="s">
        <v>1116</v>
      </c>
      <c r="K1281" s="618"/>
      <c r="L1281" s="619">
        <v>106</v>
      </c>
      <c r="M1281" s="620">
        <v>101</v>
      </c>
      <c r="N1281" s="619"/>
      <c r="O1281" s="619">
        <v>13</v>
      </c>
      <c r="P1281" s="619" t="s">
        <v>1098</v>
      </c>
      <c r="Q1281" s="662"/>
      <c r="R1281" s="618"/>
      <c r="S1281" s="621" t="s">
        <v>2125</v>
      </c>
      <c r="T1281" s="619" t="s">
        <v>1023</v>
      </c>
    </row>
    <row r="1282" spans="1:20">
      <c r="A1282" s="630">
        <v>4002170</v>
      </c>
      <c r="B1282" s="628"/>
      <c r="C1282" s="623"/>
      <c r="D1282" s="623"/>
      <c r="E1282" s="627" t="s">
        <v>1118</v>
      </c>
      <c r="F1282" s="634" t="s">
        <v>2138</v>
      </c>
      <c r="G1282" s="629">
        <v>400</v>
      </c>
      <c r="H1282" s="635">
        <v>2170</v>
      </c>
      <c r="I1282" s="618"/>
      <c r="J1282" s="619" t="s">
        <v>1118</v>
      </c>
      <c r="K1282" s="618"/>
      <c r="L1282" s="619">
        <v>108</v>
      </c>
      <c r="M1282" s="620">
        <v>103</v>
      </c>
      <c r="N1282" s="619"/>
      <c r="O1282" s="619">
        <v>13</v>
      </c>
      <c r="P1282" s="619" t="s">
        <v>1098</v>
      </c>
      <c r="Q1282" s="662"/>
      <c r="R1282" s="618"/>
      <c r="S1282" s="621" t="s">
        <v>2125</v>
      </c>
      <c r="T1282" s="619" t="s">
        <v>1025</v>
      </c>
    </row>
    <row r="1283" spans="1:20">
      <c r="A1283" s="622"/>
      <c r="B1283" s="628"/>
      <c r="C1283" s="623"/>
      <c r="D1283" s="623" t="s">
        <v>803</v>
      </c>
      <c r="E1283" s="627" t="s">
        <v>252</v>
      </c>
      <c r="F1283" s="626"/>
      <c r="G1283" s="623"/>
      <c r="H1283" s="627"/>
      <c r="I1283" s="618"/>
      <c r="J1283" s="618"/>
      <c r="K1283" s="618"/>
      <c r="L1283" s="618"/>
      <c r="M1283" s="618"/>
      <c r="N1283" s="618"/>
      <c r="O1283" s="618"/>
      <c r="P1283" s="618"/>
      <c r="Q1283" s="662"/>
      <c r="R1283" s="618"/>
      <c r="S1283" s="621"/>
      <c r="T1283" s="618"/>
    </row>
    <row r="1284" spans="1:20">
      <c r="A1284" s="630">
        <v>5822170</v>
      </c>
      <c r="B1284" s="628"/>
      <c r="C1284" s="623"/>
      <c r="D1284" s="623"/>
      <c r="E1284" s="627" t="s">
        <v>1863</v>
      </c>
      <c r="F1284" s="634" t="s">
        <v>2139</v>
      </c>
      <c r="G1284" s="629">
        <v>582</v>
      </c>
      <c r="H1284" s="635">
        <v>2170</v>
      </c>
      <c r="I1284" s="618"/>
      <c r="J1284" s="619" t="s">
        <v>1863</v>
      </c>
      <c r="K1284" s="618"/>
      <c r="L1284" s="619">
        <v>118</v>
      </c>
      <c r="M1284" s="620">
        <v>109</v>
      </c>
      <c r="N1284" s="619"/>
      <c r="O1284" s="619">
        <v>13</v>
      </c>
      <c r="P1284" s="619" t="s">
        <v>1098</v>
      </c>
      <c r="Q1284" s="662"/>
      <c r="R1284" s="618"/>
      <c r="S1284" s="621" t="s">
        <v>2125</v>
      </c>
      <c r="T1284" s="619" t="s">
        <v>1037</v>
      </c>
    </row>
    <row r="1285" spans="1:20">
      <c r="A1285" s="630">
        <v>5002170</v>
      </c>
      <c r="B1285" s="628"/>
      <c r="C1285" s="623"/>
      <c r="D1285" s="623"/>
      <c r="E1285" s="627" t="s">
        <v>1865</v>
      </c>
      <c r="F1285" s="634" t="s">
        <v>2140</v>
      </c>
      <c r="G1285" s="629">
        <v>500</v>
      </c>
      <c r="H1285" s="635">
        <v>2170</v>
      </c>
      <c r="I1285" s="618"/>
      <c r="J1285" s="619" t="s">
        <v>1865</v>
      </c>
      <c r="K1285" s="618"/>
      <c r="L1285" s="619">
        <v>119</v>
      </c>
      <c r="M1285" s="620">
        <v>110</v>
      </c>
      <c r="N1285" s="619"/>
      <c r="O1285" s="619">
        <v>13</v>
      </c>
      <c r="P1285" s="619" t="s">
        <v>1098</v>
      </c>
      <c r="Q1285" s="662"/>
      <c r="R1285" s="618"/>
      <c r="S1285" s="621" t="s">
        <v>2125</v>
      </c>
      <c r="T1285" s="619" t="s">
        <v>252</v>
      </c>
    </row>
    <row r="1286" spans="1:20">
      <c r="A1286" s="622"/>
      <c r="B1286" s="628"/>
      <c r="C1286" s="623"/>
      <c r="D1286" s="623" t="s">
        <v>848</v>
      </c>
      <c r="E1286" s="627" t="s">
        <v>2141</v>
      </c>
      <c r="F1286" s="626"/>
      <c r="G1286" s="623"/>
      <c r="H1286" s="627"/>
      <c r="I1286" s="618"/>
      <c r="J1286" s="618"/>
      <c r="K1286" s="618"/>
      <c r="L1286" s="618"/>
      <c r="M1286" s="618"/>
      <c r="N1286" s="618"/>
      <c r="O1286" s="618"/>
      <c r="P1286" s="618"/>
      <c r="Q1286" s="662"/>
      <c r="R1286" s="618"/>
      <c r="S1286" s="621"/>
      <c r="T1286" s="618"/>
    </row>
    <row r="1287" spans="1:20">
      <c r="A1287" s="630">
        <v>6152170</v>
      </c>
      <c r="B1287" s="628"/>
      <c r="C1287" s="623"/>
      <c r="D1287" s="623"/>
      <c r="E1287" s="627" t="s">
        <v>1138</v>
      </c>
      <c r="F1287" s="634" t="s">
        <v>2142</v>
      </c>
      <c r="G1287" s="629">
        <v>615</v>
      </c>
      <c r="H1287" s="635">
        <v>2170</v>
      </c>
      <c r="I1287" s="618"/>
      <c r="J1287" s="619" t="s">
        <v>1138</v>
      </c>
      <c r="K1287" s="618"/>
      <c r="L1287" s="619">
        <v>126</v>
      </c>
      <c r="M1287" s="620">
        <v>117</v>
      </c>
      <c r="N1287" s="619"/>
      <c r="O1287" s="619">
        <v>13</v>
      </c>
      <c r="P1287" s="619" t="s">
        <v>1098</v>
      </c>
      <c r="Q1287" s="662" t="s">
        <v>1043</v>
      </c>
      <c r="R1287" s="618"/>
      <c r="S1287" s="621" t="s">
        <v>2125</v>
      </c>
      <c r="T1287" s="619" t="s">
        <v>1041</v>
      </c>
    </row>
    <row r="1288" spans="1:20">
      <c r="A1288" s="630">
        <v>6102170</v>
      </c>
      <c r="B1288" s="628"/>
      <c r="C1288" s="623"/>
      <c r="D1288" s="623"/>
      <c r="E1288" s="627" t="s">
        <v>1140</v>
      </c>
      <c r="F1288" s="634" t="s">
        <v>2143</v>
      </c>
      <c r="G1288" s="629">
        <v>610</v>
      </c>
      <c r="H1288" s="635">
        <v>2170</v>
      </c>
      <c r="I1288" s="618"/>
      <c r="J1288" s="619" t="s">
        <v>1140</v>
      </c>
      <c r="K1288" s="618"/>
      <c r="L1288" s="619">
        <v>122</v>
      </c>
      <c r="M1288" s="620">
        <v>113</v>
      </c>
      <c r="N1288" s="619"/>
      <c r="O1288" s="619">
        <v>13</v>
      </c>
      <c r="P1288" s="619" t="s">
        <v>1098</v>
      </c>
      <c r="Q1288" s="662" t="s">
        <v>1043</v>
      </c>
      <c r="R1288" s="618"/>
      <c r="S1288" s="621" t="s">
        <v>2125</v>
      </c>
      <c r="T1288" s="619" t="s">
        <v>39</v>
      </c>
    </row>
    <row r="1289" spans="1:20">
      <c r="A1289" s="630">
        <v>6002170</v>
      </c>
      <c r="B1289" s="628"/>
      <c r="C1289" s="623"/>
      <c r="D1289" s="623"/>
      <c r="E1289" s="627" t="s">
        <v>1869</v>
      </c>
      <c r="F1289" s="634" t="s">
        <v>2144</v>
      </c>
      <c r="G1289" s="629">
        <v>600</v>
      </c>
      <c r="H1289" s="635">
        <v>2170</v>
      </c>
      <c r="I1289" s="618"/>
      <c r="J1289" s="619" t="s">
        <v>1869</v>
      </c>
      <c r="K1289" s="618"/>
      <c r="L1289" s="619">
        <v>126</v>
      </c>
      <c r="M1289" s="620">
        <v>117</v>
      </c>
      <c r="N1289" s="619"/>
      <c r="O1289" s="619">
        <v>13</v>
      </c>
      <c r="P1289" s="619" t="s">
        <v>1098</v>
      </c>
      <c r="Q1289" s="662"/>
      <c r="R1289" s="618"/>
      <c r="S1289" s="621" t="s">
        <v>2125</v>
      </c>
      <c r="T1289" s="619" t="s">
        <v>1048</v>
      </c>
    </row>
    <row r="1290" spans="1:20">
      <c r="A1290" s="622"/>
      <c r="B1290" s="628"/>
      <c r="C1290" s="623"/>
      <c r="D1290" s="623" t="s">
        <v>851</v>
      </c>
      <c r="E1290" s="627" t="s">
        <v>1050</v>
      </c>
      <c r="F1290" s="626"/>
      <c r="G1290" s="623"/>
      <c r="H1290" s="627"/>
      <c r="I1290" s="618"/>
      <c r="J1290" s="618"/>
      <c r="K1290" s="618"/>
      <c r="L1290" s="618"/>
      <c r="M1290" s="618"/>
      <c r="N1290" s="618"/>
      <c r="O1290" s="618"/>
      <c r="P1290" s="618"/>
      <c r="Q1290" s="662"/>
      <c r="R1290" s="618"/>
      <c r="S1290" s="621"/>
      <c r="T1290" s="618"/>
    </row>
    <row r="1291" spans="1:20">
      <c r="A1291" s="630">
        <v>7342170</v>
      </c>
      <c r="B1291" s="628"/>
      <c r="C1291" s="623"/>
      <c r="D1291" s="623"/>
      <c r="E1291" s="627" t="s">
        <v>1146</v>
      </c>
      <c r="F1291" s="634" t="s">
        <v>2145</v>
      </c>
      <c r="G1291" s="629">
        <v>734</v>
      </c>
      <c r="H1291" s="635">
        <v>2170</v>
      </c>
      <c r="I1291" s="618"/>
      <c r="J1291" s="619" t="s">
        <v>1146</v>
      </c>
      <c r="K1291" s="618"/>
      <c r="L1291" s="619">
        <v>131</v>
      </c>
      <c r="M1291" s="620">
        <v>122</v>
      </c>
      <c r="N1291" s="619"/>
      <c r="O1291" s="619">
        <v>13</v>
      </c>
      <c r="P1291" s="619" t="s">
        <v>760</v>
      </c>
      <c r="Q1291" s="662"/>
      <c r="R1291" s="618"/>
      <c r="S1291" s="621" t="s">
        <v>2125</v>
      </c>
      <c r="T1291" s="619" t="s">
        <v>1051</v>
      </c>
    </row>
    <row r="1292" spans="1:20">
      <c r="A1292" s="630">
        <v>7352170</v>
      </c>
      <c r="B1292" s="628"/>
      <c r="C1292" s="623"/>
      <c r="D1292" s="623"/>
      <c r="E1292" s="627" t="s">
        <v>1148</v>
      </c>
      <c r="F1292" s="634" t="s">
        <v>2146</v>
      </c>
      <c r="G1292" s="629">
        <v>735</v>
      </c>
      <c r="H1292" s="635">
        <v>2170</v>
      </c>
      <c r="I1292" s="618"/>
      <c r="J1292" s="619" t="s">
        <v>1148</v>
      </c>
      <c r="K1292" s="618"/>
      <c r="L1292" s="619">
        <v>131</v>
      </c>
      <c r="M1292" s="620">
        <v>122</v>
      </c>
      <c r="N1292" s="619"/>
      <c r="O1292" s="619">
        <v>13</v>
      </c>
      <c r="P1292" s="619" t="s">
        <v>760</v>
      </c>
      <c r="Q1292" s="662"/>
      <c r="R1292" s="618"/>
      <c r="S1292" s="621" t="s">
        <v>2125</v>
      </c>
      <c r="T1292" s="619" t="s">
        <v>1053</v>
      </c>
    </row>
    <row r="1293" spans="1:20">
      <c r="A1293" s="630">
        <v>7302170</v>
      </c>
      <c r="B1293" s="628"/>
      <c r="C1293" s="623"/>
      <c r="D1293" s="623"/>
      <c r="E1293" s="627" t="s">
        <v>1150</v>
      </c>
      <c r="F1293" s="634" t="s">
        <v>2147</v>
      </c>
      <c r="G1293" s="629">
        <v>730</v>
      </c>
      <c r="H1293" s="635">
        <v>2170</v>
      </c>
      <c r="I1293" s="618"/>
      <c r="J1293" s="619" t="s">
        <v>1150</v>
      </c>
      <c r="K1293" s="618"/>
      <c r="L1293" s="619">
        <v>131</v>
      </c>
      <c r="M1293" s="620">
        <v>122</v>
      </c>
      <c r="N1293" s="619"/>
      <c r="O1293" s="619">
        <v>13</v>
      </c>
      <c r="P1293" s="619" t="s">
        <v>760</v>
      </c>
      <c r="Q1293" s="662"/>
      <c r="R1293" s="618"/>
      <c r="S1293" s="621" t="s">
        <v>2125</v>
      </c>
      <c r="T1293" s="619" t="s">
        <v>1055</v>
      </c>
    </row>
    <row r="1294" spans="1:20">
      <c r="A1294" s="630">
        <v>7002170</v>
      </c>
      <c r="B1294" s="628"/>
      <c r="C1294" s="623"/>
      <c r="D1294" s="623"/>
      <c r="E1294" s="627" t="s">
        <v>1152</v>
      </c>
      <c r="F1294" s="634" t="s">
        <v>2148</v>
      </c>
      <c r="G1294" s="629">
        <v>700</v>
      </c>
      <c r="H1294" s="635">
        <v>2170</v>
      </c>
      <c r="I1294" s="618"/>
      <c r="J1294" s="619" t="s">
        <v>1152</v>
      </c>
      <c r="K1294" s="618"/>
      <c r="L1294" s="619">
        <v>132</v>
      </c>
      <c r="M1294" s="620">
        <v>123</v>
      </c>
      <c r="N1294" s="619"/>
      <c r="O1294" s="619">
        <v>13</v>
      </c>
      <c r="P1294" s="619" t="s">
        <v>760</v>
      </c>
      <c r="Q1294" s="662"/>
      <c r="R1294" s="618"/>
      <c r="S1294" s="621" t="s">
        <v>2125</v>
      </c>
      <c r="T1294" s="619" t="s">
        <v>1057</v>
      </c>
    </row>
    <row r="1295" spans="1:20">
      <c r="A1295" s="622"/>
      <c r="B1295" s="628"/>
      <c r="C1295" s="623"/>
      <c r="D1295" s="623" t="s">
        <v>854</v>
      </c>
      <c r="E1295" s="627" t="s">
        <v>256</v>
      </c>
      <c r="F1295" s="626"/>
      <c r="G1295" s="623"/>
      <c r="H1295" s="627"/>
      <c r="I1295" s="618"/>
      <c r="J1295" s="618"/>
      <c r="K1295" s="618"/>
      <c r="L1295" s="618"/>
      <c r="M1295" s="618"/>
      <c r="N1295" s="618"/>
      <c r="O1295" s="618"/>
      <c r="P1295" s="618"/>
      <c r="Q1295" s="662"/>
      <c r="R1295" s="618"/>
      <c r="S1295" s="621"/>
      <c r="T1295" s="618"/>
    </row>
    <row r="1296" spans="1:20">
      <c r="A1296" s="630">
        <v>8952170</v>
      </c>
      <c r="B1296" s="628"/>
      <c r="C1296" s="623"/>
      <c r="D1296" s="623"/>
      <c r="E1296" s="627" t="s">
        <v>1154</v>
      </c>
      <c r="F1296" s="634" t="s">
        <v>2149</v>
      </c>
      <c r="G1296" s="629">
        <v>895</v>
      </c>
      <c r="H1296" s="635">
        <v>2170</v>
      </c>
      <c r="I1296" s="618"/>
      <c r="J1296" s="619" t="s">
        <v>1154</v>
      </c>
      <c r="K1296" s="618"/>
      <c r="L1296" s="619">
        <v>139</v>
      </c>
      <c r="M1296" s="620">
        <v>129</v>
      </c>
      <c r="N1296" s="619"/>
      <c r="O1296" s="619">
        <v>13</v>
      </c>
      <c r="P1296" s="619" t="s">
        <v>1098</v>
      </c>
      <c r="Q1296" s="662"/>
      <c r="R1296" s="618"/>
      <c r="S1296" s="621" t="s">
        <v>2125</v>
      </c>
      <c r="T1296" s="619" t="s">
        <v>1059</v>
      </c>
    </row>
    <row r="1297" spans="1:20">
      <c r="A1297" s="630">
        <v>8002170</v>
      </c>
      <c r="B1297" s="628"/>
      <c r="C1297" s="623"/>
      <c r="D1297" s="623"/>
      <c r="E1297" s="627" t="s">
        <v>1156</v>
      </c>
      <c r="F1297" s="634" t="s">
        <v>2150</v>
      </c>
      <c r="G1297" s="629">
        <v>800</v>
      </c>
      <c r="H1297" s="635">
        <v>2170</v>
      </c>
      <c r="I1297" s="618"/>
      <c r="J1297" s="619" t="s">
        <v>1156</v>
      </c>
      <c r="K1297" s="618"/>
      <c r="L1297" s="619">
        <v>139</v>
      </c>
      <c r="M1297" s="620">
        <v>129</v>
      </c>
      <c r="N1297" s="619"/>
      <c r="O1297" s="619">
        <v>13</v>
      </c>
      <c r="P1297" s="619" t="s">
        <v>1098</v>
      </c>
      <c r="Q1297" s="662"/>
      <c r="R1297" s="618"/>
      <c r="S1297" s="621" t="s">
        <v>2125</v>
      </c>
      <c r="T1297" s="619" t="s">
        <v>1061</v>
      </c>
    </row>
    <row r="1298" spans="1:20">
      <c r="A1298" s="622"/>
      <c r="B1298" s="628"/>
      <c r="C1298" s="623"/>
      <c r="D1298" s="623" t="s">
        <v>857</v>
      </c>
      <c r="E1298" s="627" t="s">
        <v>1063</v>
      </c>
      <c r="F1298" s="626"/>
      <c r="G1298" s="623"/>
      <c r="H1298" s="627"/>
      <c r="I1298" s="618"/>
      <c r="J1298" s="618"/>
      <c r="K1298" s="618"/>
      <c r="L1298" s="618"/>
      <c r="M1298" s="618"/>
      <c r="N1298" s="618"/>
      <c r="O1298" s="618"/>
      <c r="P1298" s="618"/>
      <c r="Q1298" s="662"/>
      <c r="R1298" s="618"/>
      <c r="S1298" s="621"/>
      <c r="T1298" s="618"/>
    </row>
    <row r="1299" spans="1:20">
      <c r="A1299" s="630">
        <v>2102170</v>
      </c>
      <c r="B1299" s="628"/>
      <c r="C1299" s="623"/>
      <c r="D1299" s="623"/>
      <c r="E1299" s="627" t="s">
        <v>1158</v>
      </c>
      <c r="F1299" s="634" t="s">
        <v>2151</v>
      </c>
      <c r="G1299" s="629">
        <v>210</v>
      </c>
      <c r="H1299" s="635">
        <v>2170</v>
      </c>
      <c r="I1299" s="618"/>
      <c r="J1299" s="619" t="s">
        <v>1158</v>
      </c>
      <c r="K1299" s="618"/>
      <c r="L1299" s="619">
        <v>89</v>
      </c>
      <c r="M1299" s="620">
        <v>84</v>
      </c>
      <c r="N1299" s="619"/>
      <c r="O1299" s="619">
        <v>13</v>
      </c>
      <c r="P1299" s="619" t="s">
        <v>1098</v>
      </c>
      <c r="Q1299" s="662" t="s">
        <v>1002</v>
      </c>
      <c r="R1299" s="618"/>
      <c r="S1299" s="621" t="s">
        <v>2125</v>
      </c>
      <c r="T1299" s="619" t="s">
        <v>1064</v>
      </c>
    </row>
    <row r="1300" spans="1:20">
      <c r="A1300" s="630">
        <v>2202170</v>
      </c>
      <c r="B1300" s="628"/>
      <c r="C1300" s="623"/>
      <c r="D1300" s="623"/>
      <c r="E1300" s="627" t="s">
        <v>1160</v>
      </c>
      <c r="F1300" s="634" t="s">
        <v>2152</v>
      </c>
      <c r="G1300" s="629">
        <v>220</v>
      </c>
      <c r="H1300" s="635">
        <v>2170</v>
      </c>
      <c r="I1300" s="618"/>
      <c r="J1300" s="619" t="s">
        <v>1160</v>
      </c>
      <c r="K1300" s="618"/>
      <c r="L1300" s="619">
        <v>90</v>
      </c>
      <c r="M1300" s="620">
        <v>85</v>
      </c>
      <c r="N1300" s="619"/>
      <c r="O1300" s="619">
        <v>13</v>
      </c>
      <c r="P1300" s="619" t="s">
        <v>1098</v>
      </c>
      <c r="Q1300" s="662" t="s">
        <v>1002</v>
      </c>
      <c r="R1300" s="618"/>
      <c r="S1300" s="621" t="s">
        <v>2125</v>
      </c>
      <c r="T1300" s="619" t="s">
        <v>1066</v>
      </c>
    </row>
    <row r="1301" spans="1:20">
      <c r="A1301" s="630">
        <v>2252170</v>
      </c>
      <c r="B1301" s="628"/>
      <c r="C1301" s="623"/>
      <c r="D1301" s="623"/>
      <c r="E1301" s="627" t="s">
        <v>1162</v>
      </c>
      <c r="F1301" s="634" t="s">
        <v>2153</v>
      </c>
      <c r="G1301" s="629">
        <v>225</v>
      </c>
      <c r="H1301" s="635">
        <v>2170</v>
      </c>
      <c r="I1301" s="618"/>
      <c r="J1301" s="619" t="s">
        <v>1162</v>
      </c>
      <c r="K1301" s="618"/>
      <c r="L1301" s="619">
        <v>91</v>
      </c>
      <c r="M1301" s="620">
        <v>86</v>
      </c>
      <c r="N1301" s="619"/>
      <c r="O1301" s="619">
        <v>13</v>
      </c>
      <c r="P1301" s="619" t="s">
        <v>1098</v>
      </c>
      <c r="Q1301" s="662" t="s">
        <v>1002</v>
      </c>
      <c r="R1301" s="618"/>
      <c r="S1301" s="621" t="s">
        <v>2125</v>
      </c>
      <c r="T1301" s="619" t="s">
        <v>23</v>
      </c>
    </row>
    <row r="1302" spans="1:20">
      <c r="A1302" s="622"/>
      <c r="B1302" s="628"/>
      <c r="C1302" s="623"/>
      <c r="D1302" s="623"/>
      <c r="E1302" s="627" t="s">
        <v>1164</v>
      </c>
      <c r="F1302" s="626"/>
      <c r="G1302" s="623"/>
      <c r="H1302" s="627"/>
      <c r="I1302" s="618"/>
      <c r="J1302" s="618"/>
      <c r="K1302" s="618"/>
      <c r="L1302" s="618"/>
      <c r="M1302" s="618"/>
      <c r="N1302" s="618"/>
      <c r="O1302" s="618"/>
      <c r="P1302" s="618"/>
      <c r="Q1302" s="662"/>
      <c r="R1302" s="618"/>
      <c r="S1302" s="621"/>
      <c r="T1302" s="618"/>
    </row>
    <row r="1303" spans="1:20">
      <c r="A1303" s="630">
        <v>2312170</v>
      </c>
      <c r="B1303" s="628"/>
      <c r="C1303" s="623"/>
      <c r="D1303" s="623"/>
      <c r="E1303" s="627" t="s">
        <v>1165</v>
      </c>
      <c r="F1303" s="634" t="s">
        <v>2154</v>
      </c>
      <c r="G1303" s="629">
        <v>231</v>
      </c>
      <c r="H1303" s="635">
        <v>2170</v>
      </c>
      <c r="I1303" s="618"/>
      <c r="J1303" s="619" t="s">
        <v>1165</v>
      </c>
      <c r="K1303" s="618"/>
      <c r="L1303" s="619">
        <v>92</v>
      </c>
      <c r="M1303" s="620">
        <v>87</v>
      </c>
      <c r="N1303" s="619"/>
      <c r="O1303" s="619">
        <v>13</v>
      </c>
      <c r="P1303" s="619" t="s">
        <v>1098</v>
      </c>
      <c r="Q1303" s="662" t="s">
        <v>1002</v>
      </c>
      <c r="R1303" s="618"/>
      <c r="S1303" s="621" t="s">
        <v>2125</v>
      </c>
      <c r="T1303" s="619" t="s">
        <v>1072</v>
      </c>
    </row>
    <row r="1304" spans="1:20">
      <c r="A1304" s="630">
        <v>2332170</v>
      </c>
      <c r="B1304" s="628"/>
      <c r="C1304" s="623"/>
      <c r="D1304" s="623"/>
      <c r="E1304" s="627" t="s">
        <v>1167</v>
      </c>
      <c r="F1304" s="634" t="s">
        <v>2155</v>
      </c>
      <c r="G1304" s="629">
        <v>233</v>
      </c>
      <c r="H1304" s="635">
        <v>2170</v>
      </c>
      <c r="I1304" s="618"/>
      <c r="J1304" s="619" t="s">
        <v>1167</v>
      </c>
      <c r="K1304" s="618"/>
      <c r="L1304" s="619">
        <v>92</v>
      </c>
      <c r="M1304" s="620">
        <v>87</v>
      </c>
      <c r="N1304" s="619"/>
      <c r="O1304" s="619">
        <v>13</v>
      </c>
      <c r="P1304" s="619" t="s">
        <v>1098</v>
      </c>
      <c r="Q1304" s="662" t="s">
        <v>1002</v>
      </c>
      <c r="R1304" s="618"/>
      <c r="S1304" s="621" t="s">
        <v>2125</v>
      </c>
      <c r="T1304" s="619" t="s">
        <v>1169</v>
      </c>
    </row>
    <row r="1305" spans="1:20">
      <c r="A1305" s="630">
        <v>2392170</v>
      </c>
      <c r="B1305" s="628"/>
      <c r="C1305" s="623"/>
      <c r="D1305" s="623"/>
      <c r="E1305" s="627" t="s">
        <v>1170</v>
      </c>
      <c r="F1305" s="634" t="s">
        <v>2156</v>
      </c>
      <c r="G1305" s="629">
        <v>239</v>
      </c>
      <c r="H1305" s="635">
        <v>2170</v>
      </c>
      <c r="I1305" s="618"/>
      <c r="J1305" s="619" t="s">
        <v>1170</v>
      </c>
      <c r="K1305" s="618"/>
      <c r="L1305" s="619">
        <v>92</v>
      </c>
      <c r="M1305" s="620">
        <v>87</v>
      </c>
      <c r="N1305" s="619"/>
      <c r="O1305" s="619">
        <v>13</v>
      </c>
      <c r="P1305" s="619" t="s">
        <v>1098</v>
      </c>
      <c r="Q1305" s="662" t="s">
        <v>1002</v>
      </c>
      <c r="R1305" s="618"/>
      <c r="S1305" s="621" t="s">
        <v>2125</v>
      </c>
      <c r="T1305" s="619" t="s">
        <v>1078</v>
      </c>
    </row>
    <row r="1306" spans="1:20">
      <c r="A1306" s="630">
        <v>2502170</v>
      </c>
      <c r="B1306" s="628"/>
      <c r="C1306" s="623"/>
      <c r="D1306" s="623"/>
      <c r="E1306" s="627" t="s">
        <v>1172</v>
      </c>
      <c r="F1306" s="634" t="s">
        <v>2157</v>
      </c>
      <c r="G1306" s="629">
        <v>250</v>
      </c>
      <c r="H1306" s="635">
        <v>2170</v>
      </c>
      <c r="I1306" s="618"/>
      <c r="J1306" s="619" t="s">
        <v>1172</v>
      </c>
      <c r="K1306" s="618"/>
      <c r="L1306" s="619">
        <v>93</v>
      </c>
      <c r="M1306" s="620">
        <v>88</v>
      </c>
      <c r="N1306" s="619"/>
      <c r="O1306" s="619">
        <v>13</v>
      </c>
      <c r="P1306" s="619" t="s">
        <v>1098</v>
      </c>
      <c r="Q1306" s="662" t="s">
        <v>1002</v>
      </c>
      <c r="R1306" s="618"/>
      <c r="S1306" s="621" t="s">
        <v>2125</v>
      </c>
      <c r="T1306" s="619" t="s">
        <v>1079</v>
      </c>
    </row>
    <row r="1307" spans="1:20">
      <c r="A1307" s="630">
        <v>2602170</v>
      </c>
      <c r="B1307" s="628"/>
      <c r="C1307" s="623"/>
      <c r="D1307" s="623"/>
      <c r="E1307" s="627" t="s">
        <v>1174</v>
      </c>
      <c r="F1307" s="634" t="s">
        <v>2158</v>
      </c>
      <c r="G1307" s="629">
        <v>260</v>
      </c>
      <c r="H1307" s="635">
        <v>2170</v>
      </c>
      <c r="I1307" s="618"/>
      <c r="J1307" s="619" t="s">
        <v>1174</v>
      </c>
      <c r="K1307" s="618"/>
      <c r="L1307" s="619">
        <v>95</v>
      </c>
      <c r="M1307" s="620">
        <v>90</v>
      </c>
      <c r="N1307" s="619"/>
      <c r="O1307" s="619">
        <v>13</v>
      </c>
      <c r="P1307" s="619" t="s">
        <v>1098</v>
      </c>
      <c r="Q1307" s="662" t="s">
        <v>1002</v>
      </c>
      <c r="R1307" s="618"/>
      <c r="S1307" s="621" t="s">
        <v>2125</v>
      </c>
      <c r="T1307" s="619" t="s">
        <v>1081</v>
      </c>
    </row>
    <row r="1308" spans="1:20">
      <c r="A1308" s="630">
        <v>2702170</v>
      </c>
      <c r="B1308" s="628"/>
      <c r="C1308" s="623"/>
      <c r="D1308" s="623"/>
      <c r="E1308" s="627" t="s">
        <v>1176</v>
      </c>
      <c r="F1308" s="634" t="s">
        <v>2159</v>
      </c>
      <c r="G1308" s="629">
        <v>270</v>
      </c>
      <c r="H1308" s="635">
        <v>2170</v>
      </c>
      <c r="I1308" s="618"/>
      <c r="J1308" s="619" t="s">
        <v>1176</v>
      </c>
      <c r="K1308" s="618"/>
      <c r="L1308" s="619">
        <v>94</v>
      </c>
      <c r="M1308" s="620">
        <v>89</v>
      </c>
      <c r="N1308" s="619"/>
      <c r="O1308" s="619">
        <v>13</v>
      </c>
      <c r="P1308" s="619" t="s">
        <v>1098</v>
      </c>
      <c r="Q1308" s="662" t="s">
        <v>1002</v>
      </c>
      <c r="R1308" s="618"/>
      <c r="S1308" s="621" t="s">
        <v>2125</v>
      </c>
      <c r="T1308" s="619" t="s">
        <v>1083</v>
      </c>
    </row>
    <row r="1309" spans="1:20">
      <c r="A1309" s="630">
        <v>2812170</v>
      </c>
      <c r="B1309" s="628"/>
      <c r="C1309" s="623"/>
      <c r="D1309" s="623"/>
      <c r="E1309" s="627" t="s">
        <v>1178</v>
      </c>
      <c r="F1309" s="634" t="s">
        <v>2160</v>
      </c>
      <c r="G1309" s="629">
        <v>281</v>
      </c>
      <c r="H1309" s="635">
        <v>2170</v>
      </c>
      <c r="I1309" s="618"/>
      <c r="J1309" s="619" t="s">
        <v>1178</v>
      </c>
      <c r="K1309" s="618"/>
      <c r="L1309" s="619">
        <v>95</v>
      </c>
      <c r="M1309" s="620">
        <v>90</v>
      </c>
      <c r="N1309" s="619"/>
      <c r="O1309" s="619">
        <v>13</v>
      </c>
      <c r="P1309" s="619" t="s">
        <v>1098</v>
      </c>
      <c r="Q1309" s="662" t="s">
        <v>1002</v>
      </c>
      <c r="R1309" s="618"/>
      <c r="S1309" s="621" t="s">
        <v>2125</v>
      </c>
      <c r="T1309" s="619" t="s">
        <v>1085</v>
      </c>
    </row>
    <row r="1310" spans="1:20">
      <c r="A1310" s="630">
        <v>2822170</v>
      </c>
      <c r="B1310" s="628"/>
      <c r="C1310" s="623"/>
      <c r="D1310" s="623"/>
      <c r="E1310" s="627" t="s">
        <v>1180</v>
      </c>
      <c r="F1310" s="634" t="s">
        <v>2161</v>
      </c>
      <c r="G1310" s="629">
        <v>282</v>
      </c>
      <c r="H1310" s="635">
        <v>2170</v>
      </c>
      <c r="I1310" s="618"/>
      <c r="J1310" s="619" t="s">
        <v>1180</v>
      </c>
      <c r="K1310" s="618"/>
      <c r="L1310" s="619">
        <v>95</v>
      </c>
      <c r="M1310" s="620">
        <v>90</v>
      </c>
      <c r="N1310" s="619"/>
      <c r="O1310" s="619">
        <v>13</v>
      </c>
      <c r="P1310" s="619" t="s">
        <v>1098</v>
      </c>
      <c r="Q1310" s="662" t="s">
        <v>1002</v>
      </c>
      <c r="R1310" s="618"/>
      <c r="S1310" s="621" t="s">
        <v>2125</v>
      </c>
      <c r="T1310" s="619" t="s">
        <v>1087</v>
      </c>
    </row>
    <row r="1311" spans="1:20">
      <c r="A1311" s="630">
        <v>2902170</v>
      </c>
      <c r="B1311" s="628"/>
      <c r="C1311" s="623"/>
      <c r="D1311" s="623"/>
      <c r="E1311" s="627" t="s">
        <v>1182</v>
      </c>
      <c r="F1311" s="634" t="s">
        <v>2162</v>
      </c>
      <c r="G1311" s="629">
        <v>290</v>
      </c>
      <c r="H1311" s="635">
        <v>2170</v>
      </c>
      <c r="I1311" s="618"/>
      <c r="J1311" s="619" t="s">
        <v>1182</v>
      </c>
      <c r="K1311" s="618"/>
      <c r="L1311" s="619">
        <v>95</v>
      </c>
      <c r="M1311" s="620">
        <v>90</v>
      </c>
      <c r="N1311" s="619"/>
      <c r="O1311" s="619">
        <v>13</v>
      </c>
      <c r="P1311" s="619" t="s">
        <v>1098</v>
      </c>
      <c r="Q1311" s="662" t="s">
        <v>1002</v>
      </c>
      <c r="R1311" s="618"/>
      <c r="S1311" s="621" t="s">
        <v>2125</v>
      </c>
      <c r="T1311" s="619" t="s">
        <v>1090</v>
      </c>
    </row>
    <row r="1312" spans="1:20">
      <c r="A1312" s="622"/>
      <c r="B1312" s="628"/>
      <c r="C1312" s="629">
        <v>54</v>
      </c>
      <c r="D1312" s="784" t="s">
        <v>2163</v>
      </c>
      <c r="E1312" s="775"/>
      <c r="F1312" s="626"/>
      <c r="G1312" s="623"/>
      <c r="H1312" s="627"/>
      <c r="I1312" s="618"/>
      <c r="J1312" s="618"/>
      <c r="K1312" s="618"/>
      <c r="L1312" s="618"/>
      <c r="M1312" s="618"/>
      <c r="N1312" s="618"/>
      <c r="O1312" s="618"/>
      <c r="P1312" s="618"/>
      <c r="Q1312" s="662"/>
      <c r="R1312" s="618"/>
      <c r="S1312" s="621"/>
      <c r="T1312" s="618"/>
    </row>
    <row r="1313" spans="1:20">
      <c r="A1313" s="622"/>
      <c r="B1313" s="628"/>
      <c r="C1313" s="623"/>
      <c r="D1313" s="774" t="s">
        <v>2164</v>
      </c>
      <c r="E1313" s="775"/>
      <c r="F1313" s="626"/>
      <c r="G1313" s="623"/>
      <c r="H1313" s="627"/>
      <c r="I1313" s="618"/>
      <c r="J1313" s="618"/>
      <c r="K1313" s="618"/>
      <c r="L1313" s="618"/>
      <c r="M1313" s="618"/>
      <c r="N1313" s="618"/>
      <c r="O1313" s="618"/>
      <c r="P1313" s="618"/>
      <c r="Q1313" s="662"/>
      <c r="R1313" s="618"/>
      <c r="S1313" s="621"/>
      <c r="T1313" s="618"/>
    </row>
    <row r="1314" spans="1:20">
      <c r="A1314" s="622"/>
      <c r="B1314" s="628"/>
      <c r="C1314" s="623"/>
      <c r="D1314" s="623" t="s">
        <v>756</v>
      </c>
      <c r="E1314" s="627" t="s">
        <v>244</v>
      </c>
      <c r="F1314" s="626"/>
      <c r="G1314" s="623"/>
      <c r="H1314" s="627"/>
      <c r="I1314" s="618"/>
      <c r="J1314" s="618"/>
      <c r="K1314" s="618"/>
      <c r="L1314" s="618"/>
      <c r="M1314" s="618"/>
      <c r="N1314" s="618"/>
      <c r="O1314" s="618"/>
      <c r="P1314" s="618"/>
      <c r="Q1314" s="662"/>
      <c r="R1314" s="618"/>
      <c r="S1314" s="621"/>
      <c r="T1314" s="618"/>
    </row>
    <row r="1315" spans="1:20">
      <c r="A1315" s="630">
        <v>1112190</v>
      </c>
      <c r="B1315" s="628"/>
      <c r="C1315" s="623"/>
      <c r="D1315" s="623"/>
      <c r="E1315" s="627" t="s">
        <v>2165</v>
      </c>
      <c r="F1315" s="634" t="s">
        <v>2166</v>
      </c>
      <c r="G1315" s="629">
        <v>111</v>
      </c>
      <c r="H1315" s="635">
        <v>2190</v>
      </c>
      <c r="I1315" s="618"/>
      <c r="J1315" s="619" t="s">
        <v>2165</v>
      </c>
      <c r="K1315" s="618"/>
      <c r="L1315" s="619">
        <v>81</v>
      </c>
      <c r="M1315" s="620">
        <v>76</v>
      </c>
      <c r="N1315" s="619"/>
      <c r="O1315" s="619">
        <v>13</v>
      </c>
      <c r="P1315" s="619" t="s">
        <v>760</v>
      </c>
      <c r="Q1315" s="662" t="s">
        <v>1002</v>
      </c>
      <c r="R1315" s="618"/>
      <c r="S1315" s="621" t="s">
        <v>2167</v>
      </c>
      <c r="T1315" s="619" t="s">
        <v>2168</v>
      </c>
    </row>
    <row r="1316" spans="1:20">
      <c r="A1316" s="630">
        <v>1132190</v>
      </c>
      <c r="B1316" s="628"/>
      <c r="C1316" s="623"/>
      <c r="D1316" s="623"/>
      <c r="E1316" s="627" t="s">
        <v>2169</v>
      </c>
      <c r="F1316" s="634" t="s">
        <v>2170</v>
      </c>
      <c r="G1316" s="629">
        <v>113</v>
      </c>
      <c r="H1316" s="635">
        <v>2190</v>
      </c>
      <c r="I1316" s="618"/>
      <c r="J1316" s="619" t="s">
        <v>2169</v>
      </c>
      <c r="K1316" s="618"/>
      <c r="L1316" s="619">
        <v>83</v>
      </c>
      <c r="M1316" s="620">
        <v>78</v>
      </c>
      <c r="N1316" s="619"/>
      <c r="O1316" s="619">
        <v>13</v>
      </c>
      <c r="P1316" s="619" t="s">
        <v>760</v>
      </c>
      <c r="Q1316" s="662" t="s">
        <v>1002</v>
      </c>
      <c r="R1316" s="618"/>
      <c r="S1316" s="621" t="s">
        <v>2167</v>
      </c>
      <c r="T1316" s="619" t="s">
        <v>2171</v>
      </c>
    </row>
    <row r="1317" spans="1:20">
      <c r="A1317" s="630">
        <v>1142190</v>
      </c>
      <c r="B1317" s="628"/>
      <c r="C1317" s="623"/>
      <c r="D1317" s="623"/>
      <c r="E1317" s="627" t="s">
        <v>2172</v>
      </c>
      <c r="F1317" s="634" t="s">
        <v>2173</v>
      </c>
      <c r="G1317" s="629">
        <v>114</v>
      </c>
      <c r="H1317" s="635">
        <v>2190</v>
      </c>
      <c r="I1317" s="618"/>
      <c r="J1317" s="619" t="s">
        <v>2172</v>
      </c>
      <c r="K1317" s="618"/>
      <c r="L1317" s="619">
        <v>84</v>
      </c>
      <c r="M1317" s="620">
        <v>79</v>
      </c>
      <c r="N1317" s="619"/>
      <c r="O1317" s="619">
        <v>13</v>
      </c>
      <c r="P1317" s="619" t="s">
        <v>760</v>
      </c>
      <c r="Q1317" s="662" t="s">
        <v>1002</v>
      </c>
      <c r="R1317" s="618"/>
      <c r="S1317" s="621" t="s">
        <v>2167</v>
      </c>
      <c r="T1317" s="619" t="s">
        <v>2174</v>
      </c>
    </row>
    <row r="1318" spans="1:20">
      <c r="A1318" s="630">
        <v>1202190</v>
      </c>
      <c r="B1318" s="628"/>
      <c r="C1318" s="623"/>
      <c r="D1318" s="623"/>
      <c r="E1318" s="627" t="s">
        <v>2175</v>
      </c>
      <c r="F1318" s="634" t="s">
        <v>2176</v>
      </c>
      <c r="G1318" s="629">
        <v>120</v>
      </c>
      <c r="H1318" s="635">
        <v>2190</v>
      </c>
      <c r="I1318" s="618"/>
      <c r="J1318" s="619" t="s">
        <v>2175</v>
      </c>
      <c r="K1318" s="618"/>
      <c r="L1318" s="619">
        <v>86</v>
      </c>
      <c r="M1318" s="620">
        <v>81</v>
      </c>
      <c r="N1318" s="619"/>
      <c r="O1318" s="619">
        <v>13</v>
      </c>
      <c r="P1318" s="619" t="s">
        <v>760</v>
      </c>
      <c r="Q1318" s="662" t="s">
        <v>1002</v>
      </c>
      <c r="R1318" s="618"/>
      <c r="S1318" s="621" t="s">
        <v>2167</v>
      </c>
      <c r="T1318" s="619" t="s">
        <v>2177</v>
      </c>
    </row>
    <row r="1319" spans="1:20">
      <c r="A1319" s="630">
        <v>1002190</v>
      </c>
      <c r="B1319" s="628"/>
      <c r="C1319" s="623"/>
      <c r="D1319" s="623"/>
      <c r="E1319" s="627" t="s">
        <v>2178</v>
      </c>
      <c r="F1319" s="634" t="s">
        <v>2179</v>
      </c>
      <c r="G1319" s="629">
        <v>100</v>
      </c>
      <c r="H1319" s="635">
        <v>2190</v>
      </c>
      <c r="I1319" s="618"/>
      <c r="J1319" s="619" t="s">
        <v>2178</v>
      </c>
      <c r="K1319" s="618"/>
      <c r="L1319" s="619">
        <v>86</v>
      </c>
      <c r="M1319" s="620">
        <v>81</v>
      </c>
      <c r="N1319" s="619"/>
      <c r="O1319" s="619">
        <v>13</v>
      </c>
      <c r="P1319" s="619" t="s">
        <v>760</v>
      </c>
      <c r="Q1319" s="662" t="s">
        <v>1002</v>
      </c>
      <c r="R1319" s="618"/>
      <c r="S1319" s="621" t="s">
        <v>2167</v>
      </c>
      <c r="T1319" s="619" t="s">
        <v>1946</v>
      </c>
    </row>
    <row r="1320" spans="1:20">
      <c r="A1320" s="630">
        <v>1402190</v>
      </c>
      <c r="B1320" s="628"/>
      <c r="C1320" s="623"/>
      <c r="D1320" s="623"/>
      <c r="E1320" s="627" t="s">
        <v>2180</v>
      </c>
      <c r="F1320" s="634" t="s">
        <v>2181</v>
      </c>
      <c r="G1320" s="629">
        <v>140</v>
      </c>
      <c r="H1320" s="635">
        <v>2190</v>
      </c>
      <c r="I1320" s="618"/>
      <c r="J1320" s="619" t="s">
        <v>2180</v>
      </c>
      <c r="K1320" s="618"/>
      <c r="L1320" s="619">
        <v>86</v>
      </c>
      <c r="M1320" s="620">
        <v>81</v>
      </c>
      <c r="N1320" s="619"/>
      <c r="O1320" s="619">
        <v>13</v>
      </c>
      <c r="P1320" s="619" t="s">
        <v>760</v>
      </c>
      <c r="Q1320" s="662" t="s">
        <v>1002</v>
      </c>
      <c r="R1320" s="618"/>
      <c r="S1320" s="621" t="s">
        <v>2167</v>
      </c>
      <c r="T1320" s="619" t="s">
        <v>2182</v>
      </c>
    </row>
    <row r="1321" spans="1:20">
      <c r="A1321" s="630">
        <v>3002190</v>
      </c>
      <c r="B1321" s="670"/>
      <c r="C1321" s="632"/>
      <c r="D1321" s="632" t="s">
        <v>775</v>
      </c>
      <c r="E1321" s="637" t="s">
        <v>1112</v>
      </c>
      <c r="F1321" s="631" t="s">
        <v>2183</v>
      </c>
      <c r="G1321" s="661">
        <v>300</v>
      </c>
      <c r="H1321" s="633">
        <v>2190</v>
      </c>
      <c r="I1321" s="618"/>
      <c r="J1321" s="619" t="s">
        <v>1112</v>
      </c>
      <c r="K1321" s="618"/>
      <c r="L1321" s="619">
        <v>101</v>
      </c>
      <c r="M1321" s="620">
        <v>96</v>
      </c>
      <c r="N1321" s="619"/>
      <c r="O1321" s="619">
        <v>13</v>
      </c>
      <c r="P1321" s="619" t="s">
        <v>760</v>
      </c>
      <c r="Q1321" s="662"/>
      <c r="R1321" s="618"/>
      <c r="S1321" s="621" t="s">
        <v>2167</v>
      </c>
      <c r="T1321" s="619" t="s">
        <v>1112</v>
      </c>
    </row>
    <row r="1322" spans="1:20">
      <c r="A1322" s="622"/>
      <c r="B1322" s="628"/>
      <c r="C1322" s="623"/>
      <c r="D1322" s="623" t="s">
        <v>799</v>
      </c>
      <c r="E1322" s="627" t="s">
        <v>250</v>
      </c>
      <c r="F1322" s="626"/>
      <c r="G1322" s="623"/>
      <c r="H1322" s="627"/>
      <c r="I1322" s="618"/>
      <c r="J1322" s="618"/>
      <c r="K1322" s="618"/>
      <c r="L1322" s="618"/>
      <c r="M1322" s="618"/>
      <c r="N1322" s="618"/>
      <c r="O1322" s="618"/>
      <c r="P1322" s="618"/>
      <c r="Q1322" s="662"/>
      <c r="R1322" s="618"/>
      <c r="S1322" s="621"/>
      <c r="T1322" s="618"/>
    </row>
    <row r="1323" spans="1:20">
      <c r="A1323" s="630">
        <v>4302190</v>
      </c>
      <c r="B1323" s="628"/>
      <c r="C1323" s="623"/>
      <c r="D1323" s="623"/>
      <c r="E1323" s="627" t="s">
        <v>1114</v>
      </c>
      <c r="F1323" s="634" t="s">
        <v>2184</v>
      </c>
      <c r="G1323" s="629">
        <v>430</v>
      </c>
      <c r="H1323" s="635">
        <v>2190</v>
      </c>
      <c r="I1323" s="618"/>
      <c r="J1323" s="619" t="s">
        <v>1114</v>
      </c>
      <c r="K1323" s="618"/>
      <c r="L1323" s="619">
        <v>107</v>
      </c>
      <c r="M1323" s="620">
        <v>102</v>
      </c>
      <c r="N1323" s="619"/>
      <c r="O1323" s="619">
        <v>13</v>
      </c>
      <c r="P1323" s="619" t="s">
        <v>760</v>
      </c>
      <c r="Q1323" s="662"/>
      <c r="R1323" s="618"/>
      <c r="S1323" s="621" t="s">
        <v>2167</v>
      </c>
      <c r="T1323" s="619" t="s">
        <v>1021</v>
      </c>
    </row>
    <row r="1324" spans="1:20">
      <c r="A1324" s="630">
        <v>4422190</v>
      </c>
      <c r="B1324" s="628"/>
      <c r="C1324" s="623"/>
      <c r="D1324" s="623"/>
      <c r="E1324" s="627" t="s">
        <v>1116</v>
      </c>
      <c r="F1324" s="634" t="s">
        <v>2185</v>
      </c>
      <c r="G1324" s="629">
        <v>442</v>
      </c>
      <c r="H1324" s="635">
        <v>2190</v>
      </c>
      <c r="I1324" s="618"/>
      <c r="J1324" s="619" t="s">
        <v>1116</v>
      </c>
      <c r="K1324" s="618"/>
      <c r="L1324" s="619">
        <v>106</v>
      </c>
      <c r="M1324" s="620">
        <v>101</v>
      </c>
      <c r="N1324" s="619"/>
      <c r="O1324" s="619">
        <v>13</v>
      </c>
      <c r="P1324" s="619" t="s">
        <v>760</v>
      </c>
      <c r="Q1324" s="662"/>
      <c r="R1324" s="618"/>
      <c r="S1324" s="621" t="s">
        <v>2167</v>
      </c>
      <c r="T1324" s="619" t="s">
        <v>1023</v>
      </c>
    </row>
    <row r="1325" spans="1:20">
      <c r="A1325" s="630">
        <v>4002190</v>
      </c>
      <c r="B1325" s="628"/>
      <c r="C1325" s="623"/>
      <c r="D1325" s="623"/>
      <c r="E1325" s="627" t="s">
        <v>1118</v>
      </c>
      <c r="F1325" s="634" t="s">
        <v>2186</v>
      </c>
      <c r="G1325" s="629">
        <v>400</v>
      </c>
      <c r="H1325" s="635">
        <v>2190</v>
      </c>
      <c r="I1325" s="618"/>
      <c r="J1325" s="619" t="s">
        <v>1118</v>
      </c>
      <c r="K1325" s="618"/>
      <c r="L1325" s="619">
        <v>108</v>
      </c>
      <c r="M1325" s="620">
        <v>103</v>
      </c>
      <c r="N1325" s="619"/>
      <c r="O1325" s="619">
        <v>13</v>
      </c>
      <c r="P1325" s="619" t="s">
        <v>760</v>
      </c>
      <c r="Q1325" s="662"/>
      <c r="R1325" s="618"/>
      <c r="S1325" s="621" t="s">
        <v>2167</v>
      </c>
      <c r="T1325" s="619" t="s">
        <v>1025</v>
      </c>
    </row>
    <row r="1326" spans="1:20">
      <c r="A1326" s="622"/>
      <c r="B1326" s="628"/>
      <c r="C1326" s="623"/>
      <c r="D1326" s="623" t="s">
        <v>803</v>
      </c>
      <c r="E1326" s="627" t="s">
        <v>252</v>
      </c>
      <c r="F1326" s="626"/>
      <c r="G1326" s="623"/>
      <c r="H1326" s="627"/>
      <c r="I1326" s="618"/>
      <c r="J1326" s="618"/>
      <c r="K1326" s="618"/>
      <c r="L1326" s="618"/>
      <c r="M1326" s="618"/>
      <c r="N1326" s="618"/>
      <c r="O1326" s="618"/>
      <c r="P1326" s="618"/>
      <c r="Q1326" s="662"/>
      <c r="R1326" s="618"/>
      <c r="S1326" s="621"/>
      <c r="T1326" s="618"/>
    </row>
    <row r="1327" spans="1:20">
      <c r="A1327" s="630">
        <v>5822190</v>
      </c>
      <c r="B1327" s="628"/>
      <c r="C1327" s="623"/>
      <c r="D1327" s="623"/>
      <c r="E1327" s="627" t="s">
        <v>1863</v>
      </c>
      <c r="F1327" s="634" t="s">
        <v>2187</v>
      </c>
      <c r="G1327" s="629">
        <v>582</v>
      </c>
      <c r="H1327" s="635">
        <v>2190</v>
      </c>
      <c r="I1327" s="618"/>
      <c r="J1327" s="619" t="s">
        <v>1863</v>
      </c>
      <c r="K1327" s="618"/>
      <c r="L1327" s="619">
        <v>118</v>
      </c>
      <c r="M1327" s="620">
        <v>109</v>
      </c>
      <c r="N1327" s="619"/>
      <c r="O1327" s="619">
        <v>13</v>
      </c>
      <c r="P1327" s="619" t="s">
        <v>760</v>
      </c>
      <c r="Q1327" s="662"/>
      <c r="R1327" s="618"/>
      <c r="S1327" s="621" t="s">
        <v>2167</v>
      </c>
      <c r="T1327" s="619" t="s">
        <v>1037</v>
      </c>
    </row>
    <row r="1328" spans="1:20">
      <c r="A1328" s="630">
        <v>5002190</v>
      </c>
      <c r="B1328" s="628"/>
      <c r="C1328" s="623"/>
      <c r="D1328" s="623"/>
      <c r="E1328" s="627" t="s">
        <v>1865</v>
      </c>
      <c r="F1328" s="634" t="s">
        <v>2188</v>
      </c>
      <c r="G1328" s="629">
        <v>500</v>
      </c>
      <c r="H1328" s="635">
        <v>2190</v>
      </c>
      <c r="I1328" s="618"/>
      <c r="J1328" s="619" t="s">
        <v>1865</v>
      </c>
      <c r="K1328" s="618"/>
      <c r="L1328" s="619">
        <v>119</v>
      </c>
      <c r="M1328" s="620">
        <v>110</v>
      </c>
      <c r="N1328" s="619"/>
      <c r="O1328" s="619">
        <v>13</v>
      </c>
      <c r="P1328" s="619" t="s">
        <v>760</v>
      </c>
      <c r="Q1328" s="662"/>
      <c r="R1328" s="618"/>
      <c r="S1328" s="621" t="s">
        <v>2167</v>
      </c>
      <c r="T1328" s="619" t="s">
        <v>252</v>
      </c>
    </row>
    <row r="1329" spans="1:20">
      <c r="A1329" s="622"/>
      <c r="B1329" s="628"/>
      <c r="C1329" s="623"/>
      <c r="D1329" s="623" t="s">
        <v>848</v>
      </c>
      <c r="E1329" s="627" t="s">
        <v>254</v>
      </c>
      <c r="F1329" s="626"/>
      <c r="G1329" s="623"/>
      <c r="H1329" s="627"/>
      <c r="I1329" s="618"/>
      <c r="J1329" s="618"/>
      <c r="K1329" s="618"/>
      <c r="L1329" s="618"/>
      <c r="M1329" s="618"/>
      <c r="N1329" s="618"/>
      <c r="O1329" s="618"/>
      <c r="P1329" s="618"/>
      <c r="Q1329" s="662"/>
      <c r="R1329" s="618"/>
      <c r="S1329" s="621"/>
      <c r="T1329" s="618"/>
    </row>
    <row r="1330" spans="1:20">
      <c r="A1330" s="630">
        <v>6152190</v>
      </c>
      <c r="B1330" s="628"/>
      <c r="C1330" s="623"/>
      <c r="D1330" s="623"/>
      <c r="E1330" s="627" t="s">
        <v>1138</v>
      </c>
      <c r="F1330" s="634" t="s">
        <v>2189</v>
      </c>
      <c r="G1330" s="629">
        <v>615</v>
      </c>
      <c r="H1330" s="635">
        <v>2190</v>
      </c>
      <c r="I1330" s="618"/>
      <c r="J1330" s="619" t="s">
        <v>1138</v>
      </c>
      <c r="K1330" s="618"/>
      <c r="L1330" s="619">
        <v>126</v>
      </c>
      <c r="M1330" s="620">
        <v>117</v>
      </c>
      <c r="N1330" s="619"/>
      <c r="O1330" s="619">
        <v>13</v>
      </c>
      <c r="P1330" s="619" t="s">
        <v>760</v>
      </c>
      <c r="Q1330" s="662" t="s">
        <v>1043</v>
      </c>
      <c r="R1330" s="618"/>
      <c r="S1330" s="621" t="s">
        <v>2167</v>
      </c>
      <c r="T1330" s="619" t="s">
        <v>1041</v>
      </c>
    </row>
    <row r="1331" spans="1:20">
      <c r="A1331" s="630">
        <v>6102190</v>
      </c>
      <c r="B1331" s="628"/>
      <c r="C1331" s="623"/>
      <c r="D1331" s="623"/>
      <c r="E1331" s="627" t="s">
        <v>1140</v>
      </c>
      <c r="F1331" s="634" t="s">
        <v>2190</v>
      </c>
      <c r="G1331" s="629">
        <v>610</v>
      </c>
      <c r="H1331" s="635">
        <v>2190</v>
      </c>
      <c r="I1331" s="618"/>
      <c r="J1331" s="619" t="s">
        <v>1140</v>
      </c>
      <c r="K1331" s="618"/>
      <c r="L1331" s="619">
        <v>122</v>
      </c>
      <c r="M1331" s="620">
        <v>113</v>
      </c>
      <c r="N1331" s="619"/>
      <c r="O1331" s="619">
        <v>13</v>
      </c>
      <c r="P1331" s="619" t="s">
        <v>760</v>
      </c>
      <c r="Q1331" s="662" t="s">
        <v>1043</v>
      </c>
      <c r="R1331" s="618"/>
      <c r="S1331" s="621" t="s">
        <v>2167</v>
      </c>
      <c r="T1331" s="619" t="s">
        <v>39</v>
      </c>
    </row>
    <row r="1332" spans="1:20">
      <c r="A1332" s="630">
        <v>6002190</v>
      </c>
      <c r="B1332" s="628"/>
      <c r="C1332" s="623"/>
      <c r="D1332" s="623"/>
      <c r="E1332" s="627" t="s">
        <v>1869</v>
      </c>
      <c r="F1332" s="634" t="s">
        <v>2191</v>
      </c>
      <c r="G1332" s="629">
        <v>600</v>
      </c>
      <c r="H1332" s="635">
        <v>2190</v>
      </c>
      <c r="I1332" s="618"/>
      <c r="J1332" s="619" t="s">
        <v>1869</v>
      </c>
      <c r="K1332" s="618"/>
      <c r="L1332" s="619">
        <v>126</v>
      </c>
      <c r="M1332" s="620">
        <v>117</v>
      </c>
      <c r="N1332" s="619"/>
      <c r="O1332" s="619">
        <v>13</v>
      </c>
      <c r="P1332" s="619" t="s">
        <v>760</v>
      </c>
      <c r="Q1332" s="662"/>
      <c r="R1332" s="618"/>
      <c r="S1332" s="621" t="s">
        <v>2167</v>
      </c>
      <c r="T1332" s="619" t="s">
        <v>1048</v>
      </c>
    </row>
    <row r="1333" spans="1:20">
      <c r="A1333" s="622"/>
      <c r="B1333" s="628"/>
      <c r="C1333" s="623"/>
      <c r="D1333" s="623" t="s">
        <v>851</v>
      </c>
      <c r="E1333" s="627" t="s">
        <v>1050</v>
      </c>
      <c r="F1333" s="626"/>
      <c r="G1333" s="623"/>
      <c r="H1333" s="627"/>
      <c r="I1333" s="618"/>
      <c r="J1333" s="618"/>
      <c r="K1333" s="618"/>
      <c r="L1333" s="618"/>
      <c r="M1333" s="618"/>
      <c r="N1333" s="618"/>
      <c r="O1333" s="618"/>
      <c r="P1333" s="618"/>
      <c r="Q1333" s="662"/>
      <c r="R1333" s="618"/>
      <c r="S1333" s="621"/>
      <c r="T1333" s="618"/>
    </row>
    <row r="1334" spans="1:20">
      <c r="A1334" s="630">
        <v>7342190</v>
      </c>
      <c r="B1334" s="628"/>
      <c r="C1334" s="623"/>
      <c r="D1334" s="623"/>
      <c r="E1334" s="627" t="s">
        <v>1146</v>
      </c>
      <c r="F1334" s="634" t="s">
        <v>2192</v>
      </c>
      <c r="G1334" s="629">
        <v>734</v>
      </c>
      <c r="H1334" s="635">
        <v>2190</v>
      </c>
      <c r="I1334" s="618"/>
      <c r="J1334" s="619" t="s">
        <v>1146</v>
      </c>
      <c r="K1334" s="618"/>
      <c r="L1334" s="619">
        <v>131</v>
      </c>
      <c r="M1334" s="620">
        <v>122</v>
      </c>
      <c r="N1334" s="619"/>
      <c r="O1334" s="619">
        <v>13</v>
      </c>
      <c r="P1334" s="619" t="s">
        <v>760</v>
      </c>
      <c r="Q1334" s="662"/>
      <c r="R1334" s="618"/>
      <c r="S1334" s="621" t="s">
        <v>2167</v>
      </c>
      <c r="T1334" s="619" t="s">
        <v>1051</v>
      </c>
    </row>
    <row r="1335" spans="1:20">
      <c r="A1335" s="630">
        <v>7352190</v>
      </c>
      <c r="B1335" s="628"/>
      <c r="C1335" s="623"/>
      <c r="D1335" s="623"/>
      <c r="E1335" s="627" t="s">
        <v>1148</v>
      </c>
      <c r="F1335" s="634" t="s">
        <v>2193</v>
      </c>
      <c r="G1335" s="629">
        <v>735</v>
      </c>
      <c r="H1335" s="635">
        <v>2190</v>
      </c>
      <c r="I1335" s="618"/>
      <c r="J1335" s="619" t="s">
        <v>1148</v>
      </c>
      <c r="K1335" s="618"/>
      <c r="L1335" s="619">
        <v>131</v>
      </c>
      <c r="M1335" s="620">
        <v>122</v>
      </c>
      <c r="N1335" s="619"/>
      <c r="O1335" s="619">
        <v>13</v>
      </c>
      <c r="P1335" s="619" t="s">
        <v>760</v>
      </c>
      <c r="Q1335" s="662"/>
      <c r="R1335" s="618"/>
      <c r="S1335" s="621" t="s">
        <v>2167</v>
      </c>
      <c r="T1335" s="619" t="s">
        <v>1053</v>
      </c>
    </row>
    <row r="1336" spans="1:20">
      <c r="A1336" s="630">
        <v>7302190</v>
      </c>
      <c r="B1336" s="628"/>
      <c r="C1336" s="623"/>
      <c r="D1336" s="623"/>
      <c r="E1336" s="627" t="s">
        <v>1150</v>
      </c>
      <c r="F1336" s="634" t="s">
        <v>2194</v>
      </c>
      <c r="G1336" s="629">
        <v>730</v>
      </c>
      <c r="H1336" s="635">
        <v>2190</v>
      </c>
      <c r="I1336" s="618"/>
      <c r="J1336" s="619" t="s">
        <v>1150</v>
      </c>
      <c r="K1336" s="618"/>
      <c r="L1336" s="619">
        <v>131</v>
      </c>
      <c r="M1336" s="620">
        <v>122</v>
      </c>
      <c r="N1336" s="619"/>
      <c r="O1336" s="619">
        <v>13</v>
      </c>
      <c r="P1336" s="619" t="s">
        <v>760</v>
      </c>
      <c r="Q1336" s="662"/>
      <c r="R1336" s="618"/>
      <c r="S1336" s="621" t="s">
        <v>2167</v>
      </c>
      <c r="T1336" s="619" t="s">
        <v>1055</v>
      </c>
    </row>
    <row r="1337" spans="1:20">
      <c r="A1337" s="630">
        <v>7002190</v>
      </c>
      <c r="B1337" s="628"/>
      <c r="C1337" s="623"/>
      <c r="D1337" s="623"/>
      <c r="E1337" s="627" t="s">
        <v>1152</v>
      </c>
      <c r="F1337" s="634" t="s">
        <v>2195</v>
      </c>
      <c r="G1337" s="629">
        <v>700</v>
      </c>
      <c r="H1337" s="635">
        <v>2190</v>
      </c>
      <c r="I1337" s="618"/>
      <c r="J1337" s="619" t="s">
        <v>1152</v>
      </c>
      <c r="K1337" s="618"/>
      <c r="L1337" s="619">
        <v>132</v>
      </c>
      <c r="M1337" s="620">
        <v>123</v>
      </c>
      <c r="N1337" s="619"/>
      <c r="O1337" s="619">
        <v>13</v>
      </c>
      <c r="P1337" s="619" t="s">
        <v>760</v>
      </c>
      <c r="Q1337" s="662"/>
      <c r="R1337" s="618"/>
      <c r="S1337" s="621" t="s">
        <v>2167</v>
      </c>
      <c r="T1337" s="619" t="s">
        <v>1057</v>
      </c>
    </row>
    <row r="1338" spans="1:20">
      <c r="A1338" s="622"/>
      <c r="B1338" s="628"/>
      <c r="C1338" s="623"/>
      <c r="D1338" s="623" t="s">
        <v>854</v>
      </c>
      <c r="E1338" s="627" t="s">
        <v>256</v>
      </c>
      <c r="F1338" s="626"/>
      <c r="G1338" s="623"/>
      <c r="H1338" s="627"/>
      <c r="I1338" s="618"/>
      <c r="J1338" s="618"/>
      <c r="K1338" s="618"/>
      <c r="L1338" s="618"/>
      <c r="M1338" s="618"/>
      <c r="N1338" s="618"/>
      <c r="O1338" s="618"/>
      <c r="P1338" s="618"/>
      <c r="Q1338" s="662"/>
      <c r="R1338" s="618"/>
      <c r="S1338" s="621"/>
      <c r="T1338" s="618"/>
    </row>
    <row r="1339" spans="1:20">
      <c r="A1339" s="630">
        <v>8952190</v>
      </c>
      <c r="B1339" s="628"/>
      <c r="C1339" s="623"/>
      <c r="D1339" s="623"/>
      <c r="E1339" s="627" t="s">
        <v>1154</v>
      </c>
      <c r="F1339" s="634" t="s">
        <v>2196</v>
      </c>
      <c r="G1339" s="629">
        <v>895</v>
      </c>
      <c r="H1339" s="635">
        <v>2190</v>
      </c>
      <c r="I1339" s="618"/>
      <c r="J1339" s="619" t="s">
        <v>1154</v>
      </c>
      <c r="K1339" s="618"/>
      <c r="L1339" s="619">
        <v>139</v>
      </c>
      <c r="M1339" s="620">
        <v>129</v>
      </c>
      <c r="N1339" s="619"/>
      <c r="O1339" s="619">
        <v>13</v>
      </c>
      <c r="P1339" s="619" t="s">
        <v>760</v>
      </c>
      <c r="Q1339" s="662"/>
      <c r="R1339" s="618"/>
      <c r="S1339" s="621" t="s">
        <v>2167</v>
      </c>
      <c r="T1339" s="619" t="s">
        <v>1059</v>
      </c>
    </row>
    <row r="1340" spans="1:20">
      <c r="A1340" s="630">
        <v>8002190</v>
      </c>
      <c r="B1340" s="628"/>
      <c r="C1340" s="623"/>
      <c r="D1340" s="623"/>
      <c r="E1340" s="627" t="s">
        <v>1156</v>
      </c>
      <c r="F1340" s="634" t="s">
        <v>2197</v>
      </c>
      <c r="G1340" s="629">
        <v>800</v>
      </c>
      <c r="H1340" s="635">
        <v>2190</v>
      </c>
      <c r="I1340" s="618"/>
      <c r="J1340" s="619" t="s">
        <v>1156</v>
      </c>
      <c r="K1340" s="618"/>
      <c r="L1340" s="619">
        <v>139</v>
      </c>
      <c r="M1340" s="620">
        <v>129</v>
      </c>
      <c r="N1340" s="619"/>
      <c r="O1340" s="619">
        <v>13</v>
      </c>
      <c r="P1340" s="619" t="s">
        <v>760</v>
      </c>
      <c r="Q1340" s="662"/>
      <c r="R1340" s="618"/>
      <c r="S1340" s="621" t="s">
        <v>2167</v>
      </c>
      <c r="T1340" s="619" t="s">
        <v>1061</v>
      </c>
    </row>
    <row r="1341" spans="1:20">
      <c r="A1341" s="622"/>
      <c r="B1341" s="628"/>
      <c r="C1341" s="623"/>
      <c r="D1341" s="623" t="s">
        <v>857</v>
      </c>
      <c r="E1341" s="627" t="s">
        <v>1063</v>
      </c>
      <c r="F1341" s="626"/>
      <c r="G1341" s="623"/>
      <c r="H1341" s="627"/>
      <c r="I1341" s="618"/>
      <c r="J1341" s="618"/>
      <c r="K1341" s="618"/>
      <c r="L1341" s="618"/>
      <c r="M1341" s="618"/>
      <c r="N1341" s="618"/>
      <c r="O1341" s="618"/>
      <c r="P1341" s="618"/>
      <c r="Q1341" s="662"/>
      <c r="R1341" s="618"/>
      <c r="S1341" s="621"/>
      <c r="T1341" s="618"/>
    </row>
    <row r="1342" spans="1:20">
      <c r="A1342" s="630">
        <v>2102190</v>
      </c>
      <c r="B1342" s="628"/>
      <c r="C1342" s="623"/>
      <c r="D1342" s="623"/>
      <c r="E1342" s="627" t="s">
        <v>1158</v>
      </c>
      <c r="F1342" s="634" t="s">
        <v>2198</v>
      </c>
      <c r="G1342" s="629">
        <v>210</v>
      </c>
      <c r="H1342" s="635">
        <v>2190</v>
      </c>
      <c r="I1342" s="618"/>
      <c r="J1342" s="619" t="s">
        <v>1158</v>
      </c>
      <c r="K1342" s="618"/>
      <c r="L1342" s="619">
        <v>89</v>
      </c>
      <c r="M1342" s="620">
        <v>84</v>
      </c>
      <c r="N1342" s="619"/>
      <c r="O1342" s="619">
        <v>13</v>
      </c>
      <c r="P1342" s="619" t="s">
        <v>760</v>
      </c>
      <c r="Q1342" s="662" t="s">
        <v>1002</v>
      </c>
      <c r="R1342" s="618"/>
      <c r="S1342" s="621" t="s">
        <v>2167</v>
      </c>
      <c r="T1342" s="619" t="s">
        <v>1064</v>
      </c>
    </row>
    <row r="1343" spans="1:20">
      <c r="A1343" s="630">
        <v>2202190</v>
      </c>
      <c r="B1343" s="628"/>
      <c r="C1343" s="623"/>
      <c r="D1343" s="623"/>
      <c r="E1343" s="627" t="s">
        <v>1160</v>
      </c>
      <c r="F1343" s="634" t="s">
        <v>2199</v>
      </c>
      <c r="G1343" s="629">
        <v>220</v>
      </c>
      <c r="H1343" s="635">
        <v>2190</v>
      </c>
      <c r="I1343" s="618"/>
      <c r="J1343" s="619" t="s">
        <v>1160</v>
      </c>
      <c r="K1343" s="618"/>
      <c r="L1343" s="619">
        <v>90</v>
      </c>
      <c r="M1343" s="620">
        <v>85</v>
      </c>
      <c r="N1343" s="619"/>
      <c r="O1343" s="619">
        <v>13</v>
      </c>
      <c r="P1343" s="619" t="s">
        <v>760</v>
      </c>
      <c r="Q1343" s="662" t="s">
        <v>1002</v>
      </c>
      <c r="R1343" s="618"/>
      <c r="S1343" s="621" t="s">
        <v>2167</v>
      </c>
      <c r="T1343" s="619" t="s">
        <v>1066</v>
      </c>
    </row>
    <row r="1344" spans="1:20">
      <c r="A1344" s="630">
        <v>2252190</v>
      </c>
      <c r="B1344" s="628"/>
      <c r="C1344" s="623"/>
      <c r="D1344" s="623"/>
      <c r="E1344" s="627" t="s">
        <v>1162</v>
      </c>
      <c r="F1344" s="634" t="s">
        <v>2200</v>
      </c>
      <c r="G1344" s="629">
        <v>225</v>
      </c>
      <c r="H1344" s="635">
        <v>2190</v>
      </c>
      <c r="I1344" s="618"/>
      <c r="J1344" s="619" t="s">
        <v>1162</v>
      </c>
      <c r="K1344" s="618"/>
      <c r="L1344" s="619">
        <v>91</v>
      </c>
      <c r="M1344" s="620">
        <v>86</v>
      </c>
      <c r="N1344" s="619"/>
      <c r="O1344" s="619">
        <v>13</v>
      </c>
      <c r="P1344" s="619" t="s">
        <v>760</v>
      </c>
      <c r="Q1344" s="662" t="s">
        <v>1002</v>
      </c>
      <c r="R1344" s="618"/>
      <c r="S1344" s="621" t="s">
        <v>2167</v>
      </c>
      <c r="T1344" s="619" t="s">
        <v>23</v>
      </c>
    </row>
    <row r="1345" spans="1:20">
      <c r="A1345" s="622"/>
      <c r="B1345" s="628"/>
      <c r="C1345" s="623"/>
      <c r="D1345" s="623"/>
      <c r="E1345" s="627" t="s">
        <v>1164</v>
      </c>
      <c r="F1345" s="626"/>
      <c r="G1345" s="623"/>
      <c r="H1345" s="627"/>
      <c r="I1345" s="618"/>
      <c r="J1345" s="618"/>
      <c r="K1345" s="618"/>
      <c r="L1345" s="618"/>
      <c r="M1345" s="618"/>
      <c r="N1345" s="618"/>
      <c r="O1345" s="618"/>
      <c r="P1345" s="618"/>
      <c r="Q1345" s="662"/>
      <c r="R1345" s="618"/>
      <c r="S1345" s="621"/>
      <c r="T1345" s="618"/>
    </row>
    <row r="1346" spans="1:20">
      <c r="A1346" s="630">
        <v>2312190</v>
      </c>
      <c r="B1346" s="628"/>
      <c r="C1346" s="623"/>
      <c r="D1346" s="623"/>
      <c r="E1346" s="627" t="s">
        <v>1165</v>
      </c>
      <c r="F1346" s="634" t="s">
        <v>2201</v>
      </c>
      <c r="G1346" s="629">
        <v>231</v>
      </c>
      <c r="H1346" s="635">
        <v>2190</v>
      </c>
      <c r="I1346" s="618"/>
      <c r="J1346" s="619" t="s">
        <v>1165</v>
      </c>
      <c r="K1346" s="618"/>
      <c r="L1346" s="619">
        <v>92</v>
      </c>
      <c r="M1346" s="620">
        <v>87</v>
      </c>
      <c r="N1346" s="619"/>
      <c r="O1346" s="619">
        <v>13</v>
      </c>
      <c r="P1346" s="619" t="s">
        <v>760</v>
      </c>
      <c r="Q1346" s="662" t="s">
        <v>1002</v>
      </c>
      <c r="R1346" s="618"/>
      <c r="S1346" s="621" t="s">
        <v>2167</v>
      </c>
      <c r="T1346" s="619" t="s">
        <v>1072</v>
      </c>
    </row>
    <row r="1347" spans="1:20">
      <c r="A1347" s="630">
        <v>2332190</v>
      </c>
      <c r="B1347" s="628"/>
      <c r="C1347" s="623"/>
      <c r="D1347" s="623"/>
      <c r="E1347" s="627" t="s">
        <v>1167</v>
      </c>
      <c r="F1347" s="634" t="s">
        <v>2202</v>
      </c>
      <c r="G1347" s="629">
        <v>233</v>
      </c>
      <c r="H1347" s="635">
        <v>2190</v>
      </c>
      <c r="I1347" s="618"/>
      <c r="J1347" s="619" t="s">
        <v>1167</v>
      </c>
      <c r="K1347" s="618"/>
      <c r="L1347" s="619">
        <v>92</v>
      </c>
      <c r="M1347" s="620">
        <v>87</v>
      </c>
      <c r="N1347" s="619"/>
      <c r="O1347" s="619">
        <v>13</v>
      </c>
      <c r="P1347" s="619" t="s">
        <v>760</v>
      </c>
      <c r="Q1347" s="662" t="s">
        <v>1002</v>
      </c>
      <c r="R1347" s="618"/>
      <c r="S1347" s="621" t="s">
        <v>2167</v>
      </c>
      <c r="T1347" s="619" t="s">
        <v>1169</v>
      </c>
    </row>
    <row r="1348" spans="1:20">
      <c r="A1348" s="630">
        <v>2392190</v>
      </c>
      <c r="B1348" s="628"/>
      <c r="C1348" s="623"/>
      <c r="D1348" s="623"/>
      <c r="E1348" s="627" t="s">
        <v>1170</v>
      </c>
      <c r="F1348" s="634" t="s">
        <v>2203</v>
      </c>
      <c r="G1348" s="629">
        <v>239</v>
      </c>
      <c r="H1348" s="635">
        <v>2190</v>
      </c>
      <c r="I1348" s="618"/>
      <c r="J1348" s="619" t="s">
        <v>1170</v>
      </c>
      <c r="K1348" s="618"/>
      <c r="L1348" s="619">
        <v>92</v>
      </c>
      <c r="M1348" s="620">
        <v>87</v>
      </c>
      <c r="N1348" s="619"/>
      <c r="O1348" s="619">
        <v>13</v>
      </c>
      <c r="P1348" s="619" t="s">
        <v>760</v>
      </c>
      <c r="Q1348" s="662" t="s">
        <v>1002</v>
      </c>
      <c r="R1348" s="618"/>
      <c r="S1348" s="621" t="s">
        <v>2167</v>
      </c>
      <c r="T1348" s="619" t="s">
        <v>1078</v>
      </c>
    </row>
    <row r="1349" spans="1:20">
      <c r="A1349" s="630">
        <v>2502190</v>
      </c>
      <c r="B1349" s="628"/>
      <c r="C1349" s="623"/>
      <c r="D1349" s="623"/>
      <c r="E1349" s="627" t="s">
        <v>1172</v>
      </c>
      <c r="F1349" s="634" t="s">
        <v>2204</v>
      </c>
      <c r="G1349" s="629">
        <v>250</v>
      </c>
      <c r="H1349" s="635">
        <v>2190</v>
      </c>
      <c r="I1349" s="618"/>
      <c r="J1349" s="619" t="s">
        <v>1172</v>
      </c>
      <c r="K1349" s="618"/>
      <c r="L1349" s="619">
        <v>93</v>
      </c>
      <c r="M1349" s="620">
        <v>88</v>
      </c>
      <c r="N1349" s="619"/>
      <c r="O1349" s="619">
        <v>13</v>
      </c>
      <c r="P1349" s="619" t="s">
        <v>760</v>
      </c>
      <c r="Q1349" s="662" t="s">
        <v>1002</v>
      </c>
      <c r="R1349" s="618"/>
      <c r="S1349" s="621" t="s">
        <v>2167</v>
      </c>
      <c r="T1349" s="619" t="s">
        <v>1079</v>
      </c>
    </row>
    <row r="1350" spans="1:20">
      <c r="A1350" s="630">
        <v>2602190</v>
      </c>
      <c r="B1350" s="628"/>
      <c r="C1350" s="623"/>
      <c r="D1350" s="623"/>
      <c r="E1350" s="627" t="s">
        <v>1174</v>
      </c>
      <c r="F1350" s="634" t="s">
        <v>2205</v>
      </c>
      <c r="G1350" s="629">
        <v>260</v>
      </c>
      <c r="H1350" s="635">
        <v>2190</v>
      </c>
      <c r="I1350" s="618"/>
      <c r="J1350" s="619" t="s">
        <v>1174</v>
      </c>
      <c r="K1350" s="618"/>
      <c r="L1350" s="619">
        <v>95</v>
      </c>
      <c r="M1350" s="620">
        <v>90</v>
      </c>
      <c r="N1350" s="619"/>
      <c r="O1350" s="619">
        <v>13</v>
      </c>
      <c r="P1350" s="619" t="s">
        <v>760</v>
      </c>
      <c r="Q1350" s="662" t="s">
        <v>1002</v>
      </c>
      <c r="R1350" s="618"/>
      <c r="S1350" s="621" t="s">
        <v>2167</v>
      </c>
      <c r="T1350" s="619" t="s">
        <v>1081</v>
      </c>
    </row>
    <row r="1351" spans="1:20">
      <c r="A1351" s="630">
        <v>2702190</v>
      </c>
      <c r="B1351" s="628"/>
      <c r="C1351" s="623"/>
      <c r="D1351" s="623"/>
      <c r="E1351" s="627" t="s">
        <v>1176</v>
      </c>
      <c r="F1351" s="634" t="s">
        <v>2206</v>
      </c>
      <c r="G1351" s="629">
        <v>270</v>
      </c>
      <c r="H1351" s="635">
        <v>2190</v>
      </c>
      <c r="I1351" s="618"/>
      <c r="J1351" s="619" t="s">
        <v>1176</v>
      </c>
      <c r="K1351" s="618"/>
      <c r="L1351" s="619">
        <v>94</v>
      </c>
      <c r="M1351" s="620">
        <v>89</v>
      </c>
      <c r="N1351" s="619"/>
      <c r="O1351" s="619">
        <v>13</v>
      </c>
      <c r="P1351" s="619" t="s">
        <v>760</v>
      </c>
      <c r="Q1351" s="662" t="s">
        <v>1002</v>
      </c>
      <c r="R1351" s="618"/>
      <c r="S1351" s="621" t="s">
        <v>2167</v>
      </c>
      <c r="T1351" s="619" t="s">
        <v>1083</v>
      </c>
    </row>
    <row r="1352" spans="1:20">
      <c r="A1352" s="630">
        <v>2812190</v>
      </c>
      <c r="B1352" s="628"/>
      <c r="C1352" s="623"/>
      <c r="D1352" s="623"/>
      <c r="E1352" s="627" t="s">
        <v>1178</v>
      </c>
      <c r="F1352" s="634" t="s">
        <v>2207</v>
      </c>
      <c r="G1352" s="629">
        <v>281</v>
      </c>
      <c r="H1352" s="635">
        <v>2190</v>
      </c>
      <c r="I1352" s="618"/>
      <c r="J1352" s="619" t="s">
        <v>1178</v>
      </c>
      <c r="K1352" s="618"/>
      <c r="L1352" s="619">
        <v>95</v>
      </c>
      <c r="M1352" s="620">
        <v>90</v>
      </c>
      <c r="N1352" s="619"/>
      <c r="O1352" s="619">
        <v>13</v>
      </c>
      <c r="P1352" s="619" t="s">
        <v>760</v>
      </c>
      <c r="Q1352" s="662" t="s">
        <v>1002</v>
      </c>
      <c r="R1352" s="618"/>
      <c r="S1352" s="621" t="s">
        <v>2167</v>
      </c>
      <c r="T1352" s="619" t="s">
        <v>1085</v>
      </c>
    </row>
    <row r="1353" spans="1:20">
      <c r="A1353" s="630">
        <v>2822190</v>
      </c>
      <c r="B1353" s="628"/>
      <c r="C1353" s="623"/>
      <c r="D1353" s="623"/>
      <c r="E1353" s="627" t="s">
        <v>1180</v>
      </c>
      <c r="F1353" s="634" t="s">
        <v>2208</v>
      </c>
      <c r="G1353" s="629">
        <v>282</v>
      </c>
      <c r="H1353" s="635">
        <v>2190</v>
      </c>
      <c r="I1353" s="618"/>
      <c r="J1353" s="619" t="s">
        <v>1180</v>
      </c>
      <c r="K1353" s="618"/>
      <c r="L1353" s="619">
        <v>95</v>
      </c>
      <c r="M1353" s="620">
        <v>90</v>
      </c>
      <c r="N1353" s="619"/>
      <c r="O1353" s="619">
        <v>13</v>
      </c>
      <c r="P1353" s="619" t="s">
        <v>760</v>
      </c>
      <c r="Q1353" s="662" t="s">
        <v>1002</v>
      </c>
      <c r="R1353" s="618"/>
      <c r="S1353" s="621" t="s">
        <v>2167</v>
      </c>
      <c r="T1353" s="619" t="s">
        <v>1087</v>
      </c>
    </row>
    <row r="1354" spans="1:20" ht="16" thickBot="1">
      <c r="A1354" s="630">
        <v>2902190</v>
      </c>
      <c r="B1354" s="667"/>
      <c r="C1354" s="623"/>
      <c r="D1354" s="623"/>
      <c r="E1354" s="627" t="s">
        <v>1182</v>
      </c>
      <c r="F1354" s="634" t="s">
        <v>2209</v>
      </c>
      <c r="G1354" s="629">
        <v>290</v>
      </c>
      <c r="H1354" s="635">
        <v>2190</v>
      </c>
      <c r="I1354" s="618"/>
      <c r="J1354" s="619" t="s">
        <v>1182</v>
      </c>
      <c r="K1354" s="618"/>
      <c r="L1354" s="619">
        <v>95</v>
      </c>
      <c r="M1354" s="620">
        <v>90</v>
      </c>
      <c r="N1354" s="619"/>
      <c r="O1354" s="619">
        <v>13</v>
      </c>
      <c r="P1354" s="619" t="s">
        <v>760</v>
      </c>
      <c r="Q1354" s="662" t="s">
        <v>1002</v>
      </c>
      <c r="R1354" s="618"/>
      <c r="S1354" s="621" t="s">
        <v>2167</v>
      </c>
      <c r="T1354" s="619" t="s">
        <v>1090</v>
      </c>
    </row>
    <row r="1355" spans="1:20" ht="16.5" thickTop="1" thickBot="1">
      <c r="A1355" s="622"/>
      <c r="B1355" s="613"/>
      <c r="C1355" s="772" t="s">
        <v>2210</v>
      </c>
      <c r="D1355" s="773"/>
      <c r="E1355" s="782"/>
      <c r="F1355" s="656" t="s">
        <v>609</v>
      </c>
      <c r="G1355" s="657"/>
      <c r="H1355" s="658"/>
      <c r="I1355" s="618"/>
      <c r="J1355" s="618"/>
      <c r="K1355" s="618"/>
      <c r="L1355" s="618"/>
      <c r="M1355" s="618"/>
      <c r="N1355" s="618"/>
      <c r="O1355" s="618"/>
      <c r="P1355" s="618"/>
      <c r="Q1355" s="662"/>
      <c r="R1355" s="618"/>
      <c r="S1355" s="621"/>
      <c r="T1355" s="618"/>
    </row>
    <row r="1356" spans="1:20" ht="16" thickTop="1">
      <c r="A1356" s="622"/>
      <c r="B1356" s="623"/>
      <c r="C1356" s="623"/>
      <c r="D1356" s="623"/>
      <c r="E1356" s="627"/>
      <c r="F1356" s="626"/>
      <c r="G1356" s="623"/>
      <c r="H1356" s="627"/>
      <c r="I1356" s="618"/>
      <c r="J1356" s="618"/>
      <c r="K1356" s="618"/>
      <c r="L1356" s="618"/>
      <c r="M1356" s="618"/>
      <c r="N1356" s="618"/>
      <c r="O1356" s="618"/>
      <c r="P1356" s="618"/>
      <c r="Q1356" s="662"/>
      <c r="R1356" s="618"/>
      <c r="S1356" s="621"/>
      <c r="T1356" s="618"/>
    </row>
    <row r="1357" spans="1:20">
      <c r="A1357" s="622"/>
      <c r="B1357" s="628" t="s">
        <v>1093</v>
      </c>
      <c r="C1357" s="790" t="s">
        <v>678</v>
      </c>
      <c r="D1357" s="771"/>
      <c r="E1357" s="775"/>
      <c r="F1357" s="626"/>
      <c r="G1357" s="623"/>
      <c r="H1357" s="627"/>
      <c r="I1357" s="618"/>
      <c r="J1357" s="618"/>
      <c r="K1357" s="618"/>
      <c r="L1357" s="618"/>
      <c r="M1357" s="618"/>
      <c r="N1357" s="618"/>
      <c r="O1357" s="618"/>
      <c r="P1357" s="618"/>
      <c r="Q1357" s="662"/>
      <c r="R1357" s="618"/>
      <c r="S1357" s="621"/>
      <c r="T1357" s="618"/>
    </row>
    <row r="1358" spans="1:20">
      <c r="A1358" s="622"/>
      <c r="B1358" s="628"/>
      <c r="C1358" s="629">
        <v>55</v>
      </c>
      <c r="D1358" s="784" t="s">
        <v>2211</v>
      </c>
      <c r="E1358" s="775"/>
      <c r="F1358" s="626"/>
      <c r="G1358" s="623"/>
      <c r="H1358" s="627"/>
      <c r="I1358" s="618"/>
      <c r="J1358" s="618"/>
      <c r="K1358" s="618"/>
      <c r="L1358" s="618"/>
      <c r="M1358" s="618"/>
      <c r="N1358" s="618"/>
      <c r="O1358" s="618"/>
      <c r="P1358" s="618"/>
      <c r="Q1358" s="662"/>
      <c r="R1358" s="618"/>
      <c r="S1358" s="621"/>
      <c r="T1358" s="618"/>
    </row>
    <row r="1359" spans="1:20">
      <c r="A1359" s="622"/>
      <c r="B1359" s="628"/>
      <c r="C1359" s="623"/>
      <c r="D1359" s="623" t="s">
        <v>756</v>
      </c>
      <c r="E1359" s="627" t="s">
        <v>2212</v>
      </c>
      <c r="F1359" s="626"/>
      <c r="G1359" s="623"/>
      <c r="H1359" s="627"/>
      <c r="I1359" s="618"/>
      <c r="J1359" s="618"/>
      <c r="K1359" s="618"/>
      <c r="L1359" s="618"/>
      <c r="M1359" s="618"/>
      <c r="N1359" s="618"/>
      <c r="O1359" s="618"/>
      <c r="P1359" s="618"/>
      <c r="Q1359" s="662"/>
      <c r="R1359" s="618"/>
      <c r="S1359" s="621"/>
      <c r="T1359" s="618"/>
    </row>
    <row r="1360" spans="1:20">
      <c r="A1360" s="622"/>
      <c r="B1360" s="628"/>
      <c r="C1360" s="623"/>
      <c r="D1360" s="623"/>
      <c r="E1360" s="627" t="s">
        <v>2213</v>
      </c>
      <c r="F1360" s="626"/>
      <c r="G1360" s="623"/>
      <c r="H1360" s="627"/>
      <c r="I1360" s="618"/>
      <c r="J1360" s="618"/>
      <c r="K1360" s="618"/>
      <c r="L1360" s="618"/>
      <c r="M1360" s="618"/>
      <c r="N1360" s="618"/>
      <c r="O1360" s="618"/>
      <c r="P1360" s="618"/>
      <c r="Q1360" s="662"/>
      <c r="R1360" s="618"/>
      <c r="S1360" s="621"/>
      <c r="T1360" s="618"/>
    </row>
    <row r="1361" spans="1:20">
      <c r="A1361" s="630">
        <v>1112211</v>
      </c>
      <c r="B1361" s="628"/>
      <c r="C1361" s="623"/>
      <c r="D1361" s="623"/>
      <c r="E1361" s="627" t="s">
        <v>2214</v>
      </c>
      <c r="F1361" s="631" t="s">
        <v>2215</v>
      </c>
      <c r="G1361" s="661">
        <v>111</v>
      </c>
      <c r="H1361" s="633">
        <v>2211</v>
      </c>
      <c r="I1361" s="618"/>
      <c r="J1361" s="619" t="s">
        <v>2214</v>
      </c>
      <c r="K1361" s="618"/>
      <c r="L1361" s="619">
        <v>81</v>
      </c>
      <c r="M1361" s="620">
        <v>76</v>
      </c>
      <c r="N1361" s="619"/>
      <c r="O1361" s="619">
        <v>14</v>
      </c>
      <c r="P1361" s="619" t="s">
        <v>760</v>
      </c>
      <c r="Q1361" s="662" t="s">
        <v>1002</v>
      </c>
      <c r="R1361" s="618"/>
      <c r="S1361" s="621" t="s">
        <v>2216</v>
      </c>
      <c r="T1361" s="619" t="s">
        <v>2217</v>
      </c>
    </row>
    <row r="1362" spans="1:20">
      <c r="A1362" s="630">
        <v>1132211</v>
      </c>
      <c r="B1362" s="628"/>
      <c r="C1362" s="623"/>
      <c r="D1362" s="623"/>
      <c r="E1362" s="627" t="s">
        <v>2218</v>
      </c>
      <c r="F1362" s="631" t="s">
        <v>2219</v>
      </c>
      <c r="G1362" s="661">
        <v>113</v>
      </c>
      <c r="H1362" s="633">
        <v>2211</v>
      </c>
      <c r="I1362" s="618"/>
      <c r="J1362" s="619" t="s">
        <v>2218</v>
      </c>
      <c r="K1362" s="618"/>
      <c r="L1362" s="619">
        <v>83</v>
      </c>
      <c r="M1362" s="620">
        <v>78</v>
      </c>
      <c r="N1362" s="619"/>
      <c r="O1362" s="619">
        <v>14</v>
      </c>
      <c r="P1362" s="619" t="s">
        <v>760</v>
      </c>
      <c r="Q1362" s="662" t="s">
        <v>1002</v>
      </c>
      <c r="R1362" s="618"/>
      <c r="S1362" s="621" t="s">
        <v>2216</v>
      </c>
      <c r="T1362" s="619" t="s">
        <v>2220</v>
      </c>
    </row>
    <row r="1363" spans="1:20">
      <c r="A1363" s="630">
        <v>1142211</v>
      </c>
      <c r="B1363" s="628"/>
      <c r="C1363" s="623"/>
      <c r="D1363" s="623"/>
      <c r="E1363" s="627" t="s">
        <v>2221</v>
      </c>
      <c r="F1363" s="631" t="s">
        <v>2222</v>
      </c>
      <c r="G1363" s="661">
        <v>114</v>
      </c>
      <c r="H1363" s="633">
        <v>2211</v>
      </c>
      <c r="I1363" s="618"/>
      <c r="J1363" s="619" t="s">
        <v>2221</v>
      </c>
      <c r="K1363" s="618"/>
      <c r="L1363" s="619">
        <v>84</v>
      </c>
      <c r="M1363" s="620">
        <v>79</v>
      </c>
      <c r="N1363" s="619"/>
      <c r="O1363" s="619">
        <v>14</v>
      </c>
      <c r="P1363" s="619" t="s">
        <v>760</v>
      </c>
      <c r="Q1363" s="662" t="s">
        <v>1002</v>
      </c>
      <c r="R1363" s="618"/>
      <c r="S1363" s="621" t="s">
        <v>2216</v>
      </c>
      <c r="T1363" s="619" t="s">
        <v>1853</v>
      </c>
    </row>
    <row r="1364" spans="1:20">
      <c r="A1364" s="630">
        <v>1002211</v>
      </c>
      <c r="B1364" s="628"/>
      <c r="C1364" s="623"/>
      <c r="D1364" s="623"/>
      <c r="E1364" s="627" t="s">
        <v>2223</v>
      </c>
      <c r="F1364" s="631" t="s">
        <v>2224</v>
      </c>
      <c r="G1364" s="661">
        <v>100</v>
      </c>
      <c r="H1364" s="633">
        <v>2211</v>
      </c>
      <c r="I1364" s="618"/>
      <c r="J1364" s="619" t="s">
        <v>2223</v>
      </c>
      <c r="K1364" s="618"/>
      <c r="L1364" s="619">
        <v>86</v>
      </c>
      <c r="M1364" s="620">
        <v>81</v>
      </c>
      <c r="N1364" s="619"/>
      <c r="O1364" s="619">
        <v>14</v>
      </c>
      <c r="P1364" s="619" t="s">
        <v>760</v>
      </c>
      <c r="Q1364" s="662" t="s">
        <v>1002</v>
      </c>
      <c r="R1364" s="618"/>
      <c r="S1364" s="621" t="s">
        <v>2216</v>
      </c>
      <c r="T1364" s="619" t="s">
        <v>1946</v>
      </c>
    </row>
    <row r="1365" spans="1:20">
      <c r="A1365" s="630">
        <v>1402211</v>
      </c>
      <c r="B1365" s="628"/>
      <c r="C1365" s="623"/>
      <c r="D1365" s="623"/>
      <c r="E1365" s="627" t="s">
        <v>2225</v>
      </c>
      <c r="F1365" s="631" t="s">
        <v>2226</v>
      </c>
      <c r="G1365" s="661">
        <v>140</v>
      </c>
      <c r="H1365" s="633">
        <v>2211</v>
      </c>
      <c r="I1365" s="618"/>
      <c r="J1365" s="619" t="s">
        <v>2225</v>
      </c>
      <c r="K1365" s="618"/>
      <c r="L1365" s="619">
        <v>86</v>
      </c>
      <c r="M1365" s="620">
        <v>81</v>
      </c>
      <c r="N1365" s="619"/>
      <c r="O1365" s="619">
        <v>14</v>
      </c>
      <c r="P1365" s="619" t="s">
        <v>760</v>
      </c>
      <c r="Q1365" s="662" t="s">
        <v>1002</v>
      </c>
      <c r="R1365" s="618"/>
      <c r="S1365" s="621" t="s">
        <v>2216</v>
      </c>
      <c r="T1365" s="619" t="s">
        <v>1017</v>
      </c>
    </row>
    <row r="1366" spans="1:20">
      <c r="A1366" s="630">
        <v>3002211</v>
      </c>
      <c r="B1366" s="628"/>
      <c r="C1366" s="623"/>
      <c r="D1366" s="623"/>
      <c r="E1366" s="627" t="s">
        <v>2227</v>
      </c>
      <c r="F1366" s="631" t="s">
        <v>2228</v>
      </c>
      <c r="G1366" s="661">
        <v>300</v>
      </c>
      <c r="H1366" s="633">
        <v>2211</v>
      </c>
      <c r="I1366" s="618"/>
      <c r="J1366" s="619" t="s">
        <v>2227</v>
      </c>
      <c r="K1366" s="618"/>
      <c r="L1366" s="619">
        <v>101</v>
      </c>
      <c r="M1366" s="620">
        <v>96</v>
      </c>
      <c r="N1366" s="619"/>
      <c r="O1366" s="619">
        <v>14</v>
      </c>
      <c r="P1366" s="619" t="s">
        <v>760</v>
      </c>
      <c r="Q1366" s="662"/>
      <c r="R1366" s="618"/>
      <c r="S1366" s="621" t="s">
        <v>2216</v>
      </c>
      <c r="T1366" s="619" t="s">
        <v>2229</v>
      </c>
    </row>
    <row r="1367" spans="1:20">
      <c r="A1367" s="622"/>
      <c r="B1367" s="628"/>
      <c r="C1367" s="623"/>
      <c r="D1367" s="623"/>
      <c r="E1367" s="627" t="s">
        <v>2230</v>
      </c>
      <c r="F1367" s="626"/>
      <c r="G1367" s="623"/>
      <c r="H1367" s="627"/>
      <c r="I1367" s="618"/>
      <c r="J1367" s="618"/>
      <c r="K1367" s="618"/>
      <c r="L1367" s="618"/>
      <c r="M1367" s="618"/>
      <c r="N1367" s="618"/>
      <c r="O1367" s="618"/>
      <c r="P1367" s="618"/>
      <c r="Q1367" s="662"/>
      <c r="R1367" s="618"/>
      <c r="S1367" s="621"/>
      <c r="T1367" s="618"/>
    </row>
    <row r="1368" spans="1:20">
      <c r="A1368" s="630">
        <v>4302211</v>
      </c>
      <c r="B1368" s="628"/>
      <c r="C1368" s="623"/>
      <c r="D1368" s="623"/>
      <c r="E1368" s="627" t="s">
        <v>2231</v>
      </c>
      <c r="F1368" s="631" t="s">
        <v>2232</v>
      </c>
      <c r="G1368" s="661">
        <v>430</v>
      </c>
      <c r="H1368" s="633">
        <v>2211</v>
      </c>
      <c r="I1368" s="618"/>
      <c r="J1368" s="619" t="s">
        <v>2231</v>
      </c>
      <c r="K1368" s="618"/>
      <c r="L1368" s="619">
        <v>107</v>
      </c>
      <c r="M1368" s="620">
        <v>102</v>
      </c>
      <c r="N1368" s="619"/>
      <c r="O1368" s="619">
        <v>14</v>
      </c>
      <c r="P1368" s="619" t="s">
        <v>760</v>
      </c>
      <c r="Q1368" s="662"/>
      <c r="R1368" s="618"/>
      <c r="S1368" s="621" t="s">
        <v>2216</v>
      </c>
      <c r="T1368" s="619" t="s">
        <v>1021</v>
      </c>
    </row>
    <row r="1369" spans="1:20">
      <c r="A1369" s="630">
        <v>4422211</v>
      </c>
      <c r="B1369" s="628"/>
      <c r="C1369" s="623"/>
      <c r="D1369" s="623"/>
      <c r="E1369" s="627" t="s">
        <v>2233</v>
      </c>
      <c r="F1369" s="631" t="s">
        <v>2234</v>
      </c>
      <c r="G1369" s="661">
        <v>442</v>
      </c>
      <c r="H1369" s="633">
        <v>2211</v>
      </c>
      <c r="I1369" s="618"/>
      <c r="J1369" s="619" t="s">
        <v>2233</v>
      </c>
      <c r="K1369" s="618"/>
      <c r="L1369" s="619">
        <v>106</v>
      </c>
      <c r="M1369" s="620">
        <v>101</v>
      </c>
      <c r="N1369" s="619"/>
      <c r="O1369" s="619">
        <v>14</v>
      </c>
      <c r="P1369" s="619" t="s">
        <v>760</v>
      </c>
      <c r="Q1369" s="662"/>
      <c r="R1369" s="618"/>
      <c r="S1369" s="621" t="s">
        <v>2216</v>
      </c>
      <c r="T1369" s="619" t="s">
        <v>1023</v>
      </c>
    </row>
    <row r="1370" spans="1:20">
      <c r="A1370" s="630">
        <v>4002211</v>
      </c>
      <c r="B1370" s="628"/>
      <c r="C1370" s="623"/>
      <c r="D1370" s="623"/>
      <c r="E1370" s="627" t="s">
        <v>2235</v>
      </c>
      <c r="F1370" s="631" t="s">
        <v>2236</v>
      </c>
      <c r="G1370" s="661">
        <v>400</v>
      </c>
      <c r="H1370" s="633">
        <v>2211</v>
      </c>
      <c r="I1370" s="618"/>
      <c r="J1370" s="619" t="s">
        <v>2235</v>
      </c>
      <c r="K1370" s="618"/>
      <c r="L1370" s="619">
        <v>108</v>
      </c>
      <c r="M1370" s="620">
        <v>103</v>
      </c>
      <c r="N1370" s="619"/>
      <c r="O1370" s="619">
        <v>14</v>
      </c>
      <c r="P1370" s="619" t="s">
        <v>760</v>
      </c>
      <c r="Q1370" s="662"/>
      <c r="R1370" s="618"/>
      <c r="S1370" s="621" t="s">
        <v>2216</v>
      </c>
      <c r="T1370" s="619" t="s">
        <v>2237</v>
      </c>
    </row>
    <row r="1371" spans="1:20">
      <c r="A1371" s="622"/>
      <c r="B1371" s="628"/>
      <c r="C1371" s="623"/>
      <c r="D1371" s="623"/>
      <c r="E1371" s="627" t="s">
        <v>1394</v>
      </c>
      <c r="F1371" s="626"/>
      <c r="G1371" s="623"/>
      <c r="H1371" s="627"/>
      <c r="I1371" s="618"/>
      <c r="J1371" s="618"/>
      <c r="K1371" s="618"/>
      <c r="L1371" s="618"/>
      <c r="M1371" s="618"/>
      <c r="N1371" s="618"/>
      <c r="O1371" s="618"/>
      <c r="P1371" s="618"/>
      <c r="Q1371" s="662"/>
      <c r="R1371" s="618"/>
      <c r="S1371" s="621"/>
      <c r="T1371" s="618"/>
    </row>
    <row r="1372" spans="1:20">
      <c r="A1372" s="630">
        <v>5822211</v>
      </c>
      <c r="B1372" s="628"/>
      <c r="C1372" s="623"/>
      <c r="D1372" s="623"/>
      <c r="E1372" s="627" t="s">
        <v>2238</v>
      </c>
      <c r="F1372" s="631" t="s">
        <v>2239</v>
      </c>
      <c r="G1372" s="661">
        <v>582</v>
      </c>
      <c r="H1372" s="633">
        <v>2211</v>
      </c>
      <c r="I1372" s="618"/>
      <c r="J1372" s="619" t="s">
        <v>2238</v>
      </c>
      <c r="K1372" s="618"/>
      <c r="L1372" s="619">
        <v>118</v>
      </c>
      <c r="M1372" s="620">
        <v>109</v>
      </c>
      <c r="N1372" s="619"/>
      <c r="O1372" s="619">
        <v>14</v>
      </c>
      <c r="P1372" s="619" t="s">
        <v>760</v>
      </c>
      <c r="Q1372" s="662"/>
      <c r="R1372" s="618"/>
      <c r="S1372" s="621" t="s">
        <v>2216</v>
      </c>
      <c r="T1372" s="619" t="s">
        <v>1037</v>
      </c>
    </row>
    <row r="1373" spans="1:20">
      <c r="A1373" s="630">
        <v>5002211</v>
      </c>
      <c r="B1373" s="670"/>
      <c r="C1373" s="632"/>
      <c r="D1373" s="632"/>
      <c r="E1373" s="637" t="s">
        <v>2240</v>
      </c>
      <c r="F1373" s="631" t="s">
        <v>2241</v>
      </c>
      <c r="G1373" s="661">
        <v>500</v>
      </c>
      <c r="H1373" s="633">
        <v>2211</v>
      </c>
      <c r="I1373" s="618"/>
      <c r="J1373" s="619" t="s">
        <v>2240</v>
      </c>
      <c r="K1373" s="618"/>
      <c r="L1373" s="619">
        <v>119</v>
      </c>
      <c r="M1373" s="620">
        <v>110</v>
      </c>
      <c r="N1373" s="619"/>
      <c r="O1373" s="619">
        <v>14</v>
      </c>
      <c r="P1373" s="619" t="s">
        <v>760</v>
      </c>
      <c r="Q1373" s="662"/>
      <c r="R1373" s="618"/>
      <c r="S1373" s="621" t="s">
        <v>2216</v>
      </c>
      <c r="T1373" s="619" t="s">
        <v>252</v>
      </c>
    </row>
    <row r="1374" spans="1:20">
      <c r="A1374" s="622"/>
      <c r="B1374" s="628"/>
      <c r="C1374" s="623"/>
      <c r="D1374" s="623"/>
      <c r="E1374" s="627" t="s">
        <v>2242</v>
      </c>
      <c r="F1374" s="626"/>
      <c r="G1374" s="623"/>
      <c r="H1374" s="627"/>
      <c r="I1374" s="618"/>
      <c r="J1374" s="618"/>
      <c r="K1374" s="618"/>
      <c r="L1374" s="618"/>
      <c r="M1374" s="618"/>
      <c r="N1374" s="618"/>
      <c r="O1374" s="618"/>
      <c r="P1374" s="618"/>
      <c r="Q1374" s="662"/>
      <c r="R1374" s="618"/>
      <c r="S1374" s="621"/>
      <c r="T1374" s="618"/>
    </row>
    <row r="1375" spans="1:20">
      <c r="A1375" s="630">
        <v>6152211</v>
      </c>
      <c r="B1375" s="628"/>
      <c r="C1375" s="623"/>
      <c r="D1375" s="623"/>
      <c r="E1375" s="627" t="s">
        <v>2243</v>
      </c>
      <c r="F1375" s="631" t="s">
        <v>2244</v>
      </c>
      <c r="G1375" s="661">
        <v>615</v>
      </c>
      <c r="H1375" s="633">
        <v>2211</v>
      </c>
      <c r="I1375" s="618"/>
      <c r="J1375" s="619" t="s">
        <v>2243</v>
      </c>
      <c r="K1375" s="618"/>
      <c r="L1375" s="619">
        <v>126</v>
      </c>
      <c r="M1375" s="620">
        <v>117</v>
      </c>
      <c r="N1375" s="619"/>
      <c r="O1375" s="619">
        <v>14</v>
      </c>
      <c r="P1375" s="619" t="s">
        <v>760</v>
      </c>
      <c r="Q1375" s="662" t="s">
        <v>1043</v>
      </c>
      <c r="R1375" s="618"/>
      <c r="S1375" s="621" t="s">
        <v>2216</v>
      </c>
      <c r="T1375" s="619" t="s">
        <v>1041</v>
      </c>
    </row>
    <row r="1376" spans="1:20">
      <c r="A1376" s="630">
        <v>6102211</v>
      </c>
      <c r="B1376" s="628"/>
      <c r="C1376" s="623"/>
      <c r="D1376" s="623"/>
      <c r="E1376" s="627" t="s">
        <v>2245</v>
      </c>
      <c r="F1376" s="631" t="s">
        <v>2246</v>
      </c>
      <c r="G1376" s="661">
        <v>610</v>
      </c>
      <c r="H1376" s="633">
        <v>2211</v>
      </c>
      <c r="I1376" s="618"/>
      <c r="J1376" s="619" t="s">
        <v>2245</v>
      </c>
      <c r="K1376" s="618"/>
      <c r="L1376" s="619">
        <v>122</v>
      </c>
      <c r="M1376" s="620">
        <v>113</v>
      </c>
      <c r="N1376" s="619"/>
      <c r="O1376" s="619">
        <v>14</v>
      </c>
      <c r="P1376" s="619" t="s">
        <v>760</v>
      </c>
      <c r="Q1376" s="662" t="s">
        <v>1043</v>
      </c>
      <c r="R1376" s="618"/>
      <c r="S1376" s="621" t="s">
        <v>2216</v>
      </c>
      <c r="T1376" s="619" t="s">
        <v>39</v>
      </c>
    </row>
    <row r="1377" spans="1:20">
      <c r="A1377" s="630">
        <v>6002211</v>
      </c>
      <c r="B1377" s="628"/>
      <c r="C1377" s="623"/>
      <c r="D1377" s="623"/>
      <c r="E1377" s="627" t="s">
        <v>2247</v>
      </c>
      <c r="F1377" s="631" t="s">
        <v>2248</v>
      </c>
      <c r="G1377" s="661">
        <v>600</v>
      </c>
      <c r="H1377" s="633">
        <v>2211</v>
      </c>
      <c r="I1377" s="618"/>
      <c r="J1377" s="619" t="s">
        <v>2247</v>
      </c>
      <c r="K1377" s="618"/>
      <c r="L1377" s="619">
        <v>126</v>
      </c>
      <c r="M1377" s="620">
        <v>117</v>
      </c>
      <c r="N1377" s="619"/>
      <c r="O1377" s="619">
        <v>14</v>
      </c>
      <c r="P1377" s="619" t="s">
        <v>760</v>
      </c>
      <c r="Q1377" s="662"/>
      <c r="R1377" s="618"/>
      <c r="S1377" s="621" t="s">
        <v>2216</v>
      </c>
      <c r="T1377" s="619" t="s">
        <v>1048</v>
      </c>
    </row>
    <row r="1378" spans="1:20">
      <c r="A1378" s="622"/>
      <c r="B1378" s="628"/>
      <c r="C1378" s="623"/>
      <c r="D1378" s="623"/>
      <c r="E1378" s="627" t="s">
        <v>2249</v>
      </c>
      <c r="F1378" s="626"/>
      <c r="G1378" s="623"/>
      <c r="H1378" s="627"/>
      <c r="I1378" s="618"/>
      <c r="J1378" s="618"/>
      <c r="K1378" s="618"/>
      <c r="L1378" s="618"/>
      <c r="M1378" s="618"/>
      <c r="N1378" s="618"/>
      <c r="O1378" s="618"/>
      <c r="P1378" s="618"/>
      <c r="Q1378" s="662"/>
      <c r="R1378" s="618"/>
      <c r="S1378" s="621"/>
      <c r="T1378" s="618"/>
    </row>
    <row r="1379" spans="1:20">
      <c r="A1379" s="630">
        <v>7342211</v>
      </c>
      <c r="B1379" s="628"/>
      <c r="C1379" s="623"/>
      <c r="D1379" s="623"/>
      <c r="E1379" s="627" t="s">
        <v>2250</v>
      </c>
      <c r="F1379" s="631" t="s">
        <v>2251</v>
      </c>
      <c r="G1379" s="661">
        <v>734</v>
      </c>
      <c r="H1379" s="633">
        <v>2211</v>
      </c>
      <c r="I1379" s="618"/>
      <c r="J1379" s="619" t="s">
        <v>2250</v>
      </c>
      <c r="K1379" s="618"/>
      <c r="L1379" s="619">
        <v>131</v>
      </c>
      <c r="M1379" s="620">
        <v>122</v>
      </c>
      <c r="N1379" s="619"/>
      <c r="O1379" s="619">
        <v>14</v>
      </c>
      <c r="P1379" s="619" t="s">
        <v>760</v>
      </c>
      <c r="Q1379" s="662"/>
      <c r="R1379" s="618"/>
      <c r="S1379" s="621" t="s">
        <v>2216</v>
      </c>
      <c r="T1379" s="619" t="s">
        <v>1051</v>
      </c>
    </row>
    <row r="1380" spans="1:20">
      <c r="A1380" s="630">
        <v>7352211</v>
      </c>
      <c r="B1380" s="628"/>
      <c r="C1380" s="623"/>
      <c r="D1380" s="623"/>
      <c r="E1380" s="627" t="s">
        <v>2252</v>
      </c>
      <c r="F1380" s="631" t="s">
        <v>2253</v>
      </c>
      <c r="G1380" s="661">
        <v>735</v>
      </c>
      <c r="H1380" s="633">
        <v>2211</v>
      </c>
      <c r="I1380" s="618"/>
      <c r="J1380" s="619" t="s">
        <v>2252</v>
      </c>
      <c r="K1380" s="618"/>
      <c r="L1380" s="619">
        <v>131</v>
      </c>
      <c r="M1380" s="620">
        <v>122</v>
      </c>
      <c r="N1380" s="619"/>
      <c r="O1380" s="619">
        <v>14</v>
      </c>
      <c r="P1380" s="619" t="s">
        <v>760</v>
      </c>
      <c r="Q1380" s="662"/>
      <c r="R1380" s="618"/>
      <c r="S1380" s="621" t="s">
        <v>2216</v>
      </c>
      <c r="T1380" s="619" t="s">
        <v>1053</v>
      </c>
    </row>
    <row r="1381" spans="1:20">
      <c r="A1381" s="630">
        <v>7302211</v>
      </c>
      <c r="B1381" s="628"/>
      <c r="C1381" s="623"/>
      <c r="D1381" s="623"/>
      <c r="E1381" s="627" t="s">
        <v>2254</v>
      </c>
      <c r="F1381" s="631" t="s">
        <v>2255</v>
      </c>
      <c r="G1381" s="661">
        <v>730</v>
      </c>
      <c r="H1381" s="633">
        <v>2211</v>
      </c>
      <c r="I1381" s="618"/>
      <c r="J1381" s="619" t="s">
        <v>2254</v>
      </c>
      <c r="K1381" s="618"/>
      <c r="L1381" s="619">
        <v>131</v>
      </c>
      <c r="M1381" s="620">
        <v>122</v>
      </c>
      <c r="N1381" s="619"/>
      <c r="O1381" s="619">
        <v>14</v>
      </c>
      <c r="P1381" s="619" t="s">
        <v>760</v>
      </c>
      <c r="Q1381" s="662"/>
      <c r="R1381" s="618"/>
      <c r="S1381" s="621" t="s">
        <v>2216</v>
      </c>
      <c r="T1381" s="619" t="s">
        <v>1055</v>
      </c>
    </row>
    <row r="1382" spans="1:20">
      <c r="A1382" s="630">
        <v>7002211</v>
      </c>
      <c r="B1382" s="628"/>
      <c r="C1382" s="623"/>
      <c r="D1382" s="623"/>
      <c r="E1382" s="627" t="s">
        <v>2256</v>
      </c>
      <c r="F1382" s="631" t="s">
        <v>2257</v>
      </c>
      <c r="G1382" s="661">
        <v>700</v>
      </c>
      <c r="H1382" s="633">
        <v>2211</v>
      </c>
      <c r="I1382" s="618"/>
      <c r="J1382" s="619" t="s">
        <v>2256</v>
      </c>
      <c r="K1382" s="618"/>
      <c r="L1382" s="619">
        <v>132</v>
      </c>
      <c r="M1382" s="620">
        <v>123</v>
      </c>
      <c r="N1382" s="619"/>
      <c r="O1382" s="619">
        <v>14</v>
      </c>
      <c r="P1382" s="619" t="s">
        <v>760</v>
      </c>
      <c r="Q1382" s="662"/>
      <c r="R1382" s="618"/>
      <c r="S1382" s="621" t="s">
        <v>2216</v>
      </c>
      <c r="T1382" s="619" t="s">
        <v>1057</v>
      </c>
    </row>
    <row r="1383" spans="1:20">
      <c r="A1383" s="622"/>
      <c r="B1383" s="628"/>
      <c r="C1383" s="623"/>
      <c r="D1383" s="623"/>
      <c r="E1383" s="627" t="s">
        <v>2258</v>
      </c>
      <c r="F1383" s="626"/>
      <c r="G1383" s="623"/>
      <c r="H1383" s="627"/>
      <c r="I1383" s="618"/>
      <c r="J1383" s="618"/>
      <c r="K1383" s="618"/>
      <c r="L1383" s="618"/>
      <c r="M1383" s="618"/>
      <c r="N1383" s="618"/>
      <c r="O1383" s="618"/>
      <c r="P1383" s="618"/>
      <c r="Q1383" s="662"/>
      <c r="R1383" s="618"/>
      <c r="S1383" s="621"/>
      <c r="T1383" s="618"/>
    </row>
    <row r="1384" spans="1:20">
      <c r="A1384" s="630">
        <v>8952211</v>
      </c>
      <c r="B1384" s="628"/>
      <c r="C1384" s="623"/>
      <c r="D1384" s="623"/>
      <c r="E1384" s="627" t="s">
        <v>2259</v>
      </c>
      <c r="F1384" s="631" t="s">
        <v>2260</v>
      </c>
      <c r="G1384" s="661">
        <v>895</v>
      </c>
      <c r="H1384" s="633">
        <v>2211</v>
      </c>
      <c r="I1384" s="618"/>
      <c r="J1384" s="619" t="s">
        <v>2259</v>
      </c>
      <c r="K1384" s="618"/>
      <c r="L1384" s="619">
        <v>139</v>
      </c>
      <c r="M1384" s="620">
        <v>129</v>
      </c>
      <c r="N1384" s="619"/>
      <c r="O1384" s="619">
        <v>14</v>
      </c>
      <c r="P1384" s="619" t="s">
        <v>760</v>
      </c>
      <c r="Q1384" s="662"/>
      <c r="R1384" s="618"/>
      <c r="S1384" s="621" t="s">
        <v>2216</v>
      </c>
      <c r="T1384" s="619" t="s">
        <v>2261</v>
      </c>
    </row>
    <row r="1385" spans="1:20">
      <c r="A1385" s="630">
        <v>8002211</v>
      </c>
      <c r="B1385" s="628"/>
      <c r="C1385" s="623"/>
      <c r="D1385" s="623"/>
      <c r="E1385" s="627" t="s">
        <v>2262</v>
      </c>
      <c r="F1385" s="631" t="s">
        <v>2263</v>
      </c>
      <c r="G1385" s="661">
        <v>800</v>
      </c>
      <c r="H1385" s="633">
        <v>2211</v>
      </c>
      <c r="I1385" s="618"/>
      <c r="J1385" s="619" t="s">
        <v>2262</v>
      </c>
      <c r="K1385" s="618"/>
      <c r="L1385" s="619">
        <v>139</v>
      </c>
      <c r="M1385" s="620">
        <v>129</v>
      </c>
      <c r="N1385" s="619"/>
      <c r="O1385" s="619">
        <v>14</v>
      </c>
      <c r="P1385" s="619" t="s">
        <v>760</v>
      </c>
      <c r="Q1385" s="662"/>
      <c r="R1385" s="618"/>
      <c r="S1385" s="621" t="s">
        <v>2216</v>
      </c>
      <c r="T1385" s="619" t="s">
        <v>1061</v>
      </c>
    </row>
    <row r="1386" spans="1:20">
      <c r="A1386" s="622"/>
      <c r="B1386" s="628"/>
      <c r="C1386" s="623"/>
      <c r="D1386" s="623"/>
      <c r="E1386" s="627" t="s">
        <v>2264</v>
      </c>
      <c r="F1386" s="626"/>
      <c r="G1386" s="623"/>
      <c r="H1386" s="627"/>
      <c r="I1386" s="618"/>
      <c r="J1386" s="618"/>
      <c r="K1386" s="618"/>
      <c r="L1386" s="618"/>
      <c r="M1386" s="618"/>
      <c r="N1386" s="618"/>
      <c r="O1386" s="618"/>
      <c r="P1386" s="618"/>
      <c r="Q1386" s="662"/>
      <c r="R1386" s="618"/>
      <c r="S1386" s="621"/>
      <c r="T1386" s="618"/>
    </row>
    <row r="1387" spans="1:20">
      <c r="A1387" s="630">
        <v>2102211</v>
      </c>
      <c r="B1387" s="628"/>
      <c r="C1387" s="623"/>
      <c r="D1387" s="623"/>
      <c r="E1387" s="627" t="s">
        <v>2265</v>
      </c>
      <c r="F1387" s="631" t="s">
        <v>2266</v>
      </c>
      <c r="G1387" s="661">
        <v>210</v>
      </c>
      <c r="H1387" s="633">
        <v>2211</v>
      </c>
      <c r="I1387" s="618"/>
      <c r="J1387" s="619" t="s">
        <v>2265</v>
      </c>
      <c r="K1387" s="618"/>
      <c r="L1387" s="619">
        <v>89</v>
      </c>
      <c r="M1387" s="620">
        <v>84</v>
      </c>
      <c r="N1387" s="619"/>
      <c r="O1387" s="619">
        <v>14</v>
      </c>
      <c r="P1387" s="619" t="s">
        <v>760</v>
      </c>
      <c r="Q1387" s="662" t="s">
        <v>1002</v>
      </c>
      <c r="R1387" s="618"/>
      <c r="S1387" s="621" t="s">
        <v>2216</v>
      </c>
      <c r="T1387" s="619" t="s">
        <v>1064</v>
      </c>
    </row>
    <row r="1388" spans="1:20">
      <c r="A1388" s="630">
        <v>2202211</v>
      </c>
      <c r="B1388" s="628"/>
      <c r="C1388" s="623"/>
      <c r="D1388" s="623"/>
      <c r="E1388" s="627" t="s">
        <v>2267</v>
      </c>
      <c r="F1388" s="631" t="s">
        <v>2268</v>
      </c>
      <c r="G1388" s="661">
        <v>220</v>
      </c>
      <c r="H1388" s="633">
        <v>2211</v>
      </c>
      <c r="I1388" s="618"/>
      <c r="J1388" s="619" t="s">
        <v>2267</v>
      </c>
      <c r="K1388" s="618"/>
      <c r="L1388" s="619">
        <v>90</v>
      </c>
      <c r="M1388" s="620">
        <v>85</v>
      </c>
      <c r="N1388" s="619"/>
      <c r="O1388" s="619">
        <v>14</v>
      </c>
      <c r="P1388" s="619" t="s">
        <v>760</v>
      </c>
      <c r="Q1388" s="662" t="s">
        <v>1002</v>
      </c>
      <c r="R1388" s="618"/>
      <c r="S1388" s="621" t="s">
        <v>2216</v>
      </c>
      <c r="T1388" s="619" t="s">
        <v>1066</v>
      </c>
    </row>
    <row r="1389" spans="1:20">
      <c r="A1389" s="630">
        <v>2252211</v>
      </c>
      <c r="B1389" s="628"/>
      <c r="C1389" s="623"/>
      <c r="D1389" s="623"/>
      <c r="E1389" s="627" t="s">
        <v>2269</v>
      </c>
      <c r="F1389" s="631" t="s">
        <v>2270</v>
      </c>
      <c r="G1389" s="661">
        <v>225</v>
      </c>
      <c r="H1389" s="633">
        <v>2211</v>
      </c>
      <c r="I1389" s="618"/>
      <c r="J1389" s="619" t="s">
        <v>2269</v>
      </c>
      <c r="K1389" s="618"/>
      <c r="L1389" s="619">
        <v>91</v>
      </c>
      <c r="M1389" s="620">
        <v>86</v>
      </c>
      <c r="N1389" s="619"/>
      <c r="O1389" s="619">
        <v>14</v>
      </c>
      <c r="P1389" s="619" t="s">
        <v>760</v>
      </c>
      <c r="Q1389" s="662" t="s">
        <v>1002</v>
      </c>
      <c r="R1389" s="618"/>
      <c r="S1389" s="621" t="s">
        <v>2216</v>
      </c>
      <c r="T1389" s="619" t="s">
        <v>23</v>
      </c>
    </row>
    <row r="1390" spans="1:20">
      <c r="A1390" s="622"/>
      <c r="B1390" s="628"/>
      <c r="C1390" s="623"/>
      <c r="D1390" s="623"/>
      <c r="E1390" s="627" t="s">
        <v>2271</v>
      </c>
      <c r="F1390" s="626"/>
      <c r="G1390" s="623"/>
      <c r="H1390" s="627"/>
      <c r="I1390" s="618"/>
      <c r="J1390" s="618"/>
      <c r="K1390" s="618"/>
      <c r="L1390" s="618"/>
      <c r="M1390" s="618"/>
      <c r="N1390" s="618"/>
      <c r="O1390" s="618"/>
      <c r="P1390" s="618"/>
      <c r="Q1390" s="662"/>
      <c r="R1390" s="618"/>
      <c r="S1390" s="621"/>
      <c r="T1390" s="618"/>
    </row>
    <row r="1391" spans="1:20">
      <c r="A1391" s="630">
        <v>2312211</v>
      </c>
      <c r="B1391" s="628"/>
      <c r="C1391" s="623"/>
      <c r="D1391" s="623"/>
      <c r="E1391" s="627" t="s">
        <v>2272</v>
      </c>
      <c r="F1391" s="631" t="s">
        <v>2273</v>
      </c>
      <c r="G1391" s="661">
        <v>231</v>
      </c>
      <c r="H1391" s="633">
        <v>2211</v>
      </c>
      <c r="I1391" s="618"/>
      <c r="J1391" s="619" t="s">
        <v>2272</v>
      </c>
      <c r="K1391" s="618"/>
      <c r="L1391" s="619">
        <v>92</v>
      </c>
      <c r="M1391" s="620">
        <v>87</v>
      </c>
      <c r="N1391" s="619"/>
      <c r="O1391" s="619">
        <v>14</v>
      </c>
      <c r="P1391" s="619" t="s">
        <v>760</v>
      </c>
      <c r="Q1391" s="662" t="s">
        <v>1002</v>
      </c>
      <c r="R1391" s="618"/>
      <c r="S1391" s="621" t="s">
        <v>2216</v>
      </c>
      <c r="T1391" s="619" t="s">
        <v>1072</v>
      </c>
    </row>
    <row r="1392" spans="1:20">
      <c r="A1392" s="630">
        <v>2332211</v>
      </c>
      <c r="B1392" s="628"/>
      <c r="C1392" s="623"/>
      <c r="D1392" s="623"/>
      <c r="E1392" s="627" t="s">
        <v>2274</v>
      </c>
      <c r="F1392" s="631" t="s">
        <v>2275</v>
      </c>
      <c r="G1392" s="661">
        <v>233</v>
      </c>
      <c r="H1392" s="633">
        <v>2211</v>
      </c>
      <c r="I1392" s="618"/>
      <c r="J1392" s="619" t="s">
        <v>2274</v>
      </c>
      <c r="K1392" s="618"/>
      <c r="L1392" s="619">
        <v>92</v>
      </c>
      <c r="M1392" s="620">
        <v>87</v>
      </c>
      <c r="N1392" s="619"/>
      <c r="O1392" s="619">
        <v>14</v>
      </c>
      <c r="P1392" s="619" t="s">
        <v>760</v>
      </c>
      <c r="Q1392" s="662" t="s">
        <v>1002</v>
      </c>
      <c r="R1392" s="618"/>
      <c r="S1392" s="621" t="s">
        <v>2216</v>
      </c>
      <c r="T1392" s="619" t="s">
        <v>2276</v>
      </c>
    </row>
    <row r="1393" spans="1:20">
      <c r="A1393" s="630">
        <v>2392211</v>
      </c>
      <c r="B1393" s="628"/>
      <c r="C1393" s="623"/>
      <c r="D1393" s="623"/>
      <c r="E1393" s="627" t="s">
        <v>2277</v>
      </c>
      <c r="F1393" s="631" t="s">
        <v>2278</v>
      </c>
      <c r="G1393" s="661">
        <v>239</v>
      </c>
      <c r="H1393" s="633">
        <v>2211</v>
      </c>
      <c r="I1393" s="618"/>
      <c r="J1393" s="619" t="s">
        <v>2277</v>
      </c>
      <c r="K1393" s="618"/>
      <c r="L1393" s="619">
        <v>92</v>
      </c>
      <c r="M1393" s="620">
        <v>87</v>
      </c>
      <c r="N1393" s="619"/>
      <c r="O1393" s="619">
        <v>14</v>
      </c>
      <c r="P1393" s="619" t="s">
        <v>760</v>
      </c>
      <c r="Q1393" s="662" t="s">
        <v>1002</v>
      </c>
      <c r="R1393" s="618"/>
      <c r="S1393" s="621" t="s">
        <v>2216</v>
      </c>
      <c r="T1393" s="619" t="s">
        <v>1078</v>
      </c>
    </row>
    <row r="1394" spans="1:20">
      <c r="A1394" s="630">
        <v>2502211</v>
      </c>
      <c r="B1394" s="628"/>
      <c r="C1394" s="623"/>
      <c r="D1394" s="623"/>
      <c r="E1394" s="627" t="s">
        <v>2279</v>
      </c>
      <c r="F1394" s="631" t="s">
        <v>2280</v>
      </c>
      <c r="G1394" s="661">
        <v>250</v>
      </c>
      <c r="H1394" s="633">
        <v>2211</v>
      </c>
      <c r="I1394" s="618"/>
      <c r="J1394" s="619" t="s">
        <v>2279</v>
      </c>
      <c r="K1394" s="618"/>
      <c r="L1394" s="619">
        <v>93</v>
      </c>
      <c r="M1394" s="620">
        <v>88</v>
      </c>
      <c r="N1394" s="619"/>
      <c r="O1394" s="619">
        <v>14</v>
      </c>
      <c r="P1394" s="619" t="s">
        <v>760</v>
      </c>
      <c r="Q1394" s="662" t="s">
        <v>1002</v>
      </c>
      <c r="R1394" s="618"/>
      <c r="S1394" s="621" t="s">
        <v>2216</v>
      </c>
      <c r="T1394" s="619" t="s">
        <v>1079</v>
      </c>
    </row>
    <row r="1395" spans="1:20">
      <c r="A1395" s="630">
        <v>2602211</v>
      </c>
      <c r="B1395" s="628"/>
      <c r="C1395" s="623"/>
      <c r="D1395" s="623"/>
      <c r="E1395" s="627" t="s">
        <v>2281</v>
      </c>
      <c r="F1395" s="631" t="s">
        <v>2282</v>
      </c>
      <c r="G1395" s="661">
        <v>260</v>
      </c>
      <c r="H1395" s="633">
        <v>2211</v>
      </c>
      <c r="I1395" s="618"/>
      <c r="J1395" s="619" t="s">
        <v>2281</v>
      </c>
      <c r="K1395" s="618"/>
      <c r="L1395" s="619">
        <v>95</v>
      </c>
      <c r="M1395" s="620">
        <v>90</v>
      </c>
      <c r="N1395" s="619"/>
      <c r="O1395" s="619">
        <v>14</v>
      </c>
      <c r="P1395" s="619" t="s">
        <v>760</v>
      </c>
      <c r="Q1395" s="662" t="s">
        <v>1002</v>
      </c>
      <c r="R1395" s="618"/>
      <c r="S1395" s="621" t="s">
        <v>2216</v>
      </c>
      <c r="T1395" s="619" t="s">
        <v>1081</v>
      </c>
    </row>
    <row r="1396" spans="1:20">
      <c r="A1396" s="630">
        <v>2702211</v>
      </c>
      <c r="B1396" s="628"/>
      <c r="C1396" s="623"/>
      <c r="D1396" s="623"/>
      <c r="E1396" s="627" t="s">
        <v>2283</v>
      </c>
      <c r="F1396" s="631" t="s">
        <v>2284</v>
      </c>
      <c r="G1396" s="661">
        <v>270</v>
      </c>
      <c r="H1396" s="633">
        <v>2211</v>
      </c>
      <c r="I1396" s="618"/>
      <c r="J1396" s="619" t="s">
        <v>2283</v>
      </c>
      <c r="K1396" s="618"/>
      <c r="L1396" s="619">
        <v>94</v>
      </c>
      <c r="M1396" s="620">
        <v>89</v>
      </c>
      <c r="N1396" s="619"/>
      <c r="O1396" s="619">
        <v>14</v>
      </c>
      <c r="P1396" s="619" t="s">
        <v>760</v>
      </c>
      <c r="Q1396" s="662" t="s">
        <v>1002</v>
      </c>
      <c r="R1396" s="618"/>
      <c r="S1396" s="621" t="s">
        <v>2216</v>
      </c>
      <c r="T1396" s="619" t="s">
        <v>1083</v>
      </c>
    </row>
    <row r="1397" spans="1:20">
      <c r="A1397" s="630">
        <v>2812211</v>
      </c>
      <c r="B1397" s="628"/>
      <c r="C1397" s="623"/>
      <c r="D1397" s="623"/>
      <c r="E1397" s="627" t="s">
        <v>2285</v>
      </c>
      <c r="F1397" s="631" t="s">
        <v>2286</v>
      </c>
      <c r="G1397" s="661">
        <v>281</v>
      </c>
      <c r="H1397" s="633">
        <v>2211</v>
      </c>
      <c r="I1397" s="618"/>
      <c r="J1397" s="619" t="s">
        <v>2285</v>
      </c>
      <c r="K1397" s="618"/>
      <c r="L1397" s="619">
        <v>95</v>
      </c>
      <c r="M1397" s="620">
        <v>90</v>
      </c>
      <c r="N1397" s="619"/>
      <c r="O1397" s="619">
        <v>14</v>
      </c>
      <c r="P1397" s="619" t="s">
        <v>760</v>
      </c>
      <c r="Q1397" s="662" t="s">
        <v>1002</v>
      </c>
      <c r="R1397" s="618"/>
      <c r="S1397" s="621" t="s">
        <v>2216</v>
      </c>
      <c r="T1397" s="619" t="s">
        <v>1085</v>
      </c>
    </row>
    <row r="1398" spans="1:20">
      <c r="A1398" s="630">
        <v>2822211</v>
      </c>
      <c r="B1398" s="628"/>
      <c r="C1398" s="623"/>
      <c r="D1398" s="623"/>
      <c r="E1398" s="627" t="s">
        <v>2287</v>
      </c>
      <c r="F1398" s="631" t="s">
        <v>2288</v>
      </c>
      <c r="G1398" s="661">
        <v>282</v>
      </c>
      <c r="H1398" s="633">
        <v>2211</v>
      </c>
      <c r="I1398" s="618"/>
      <c r="J1398" s="619" t="s">
        <v>2287</v>
      </c>
      <c r="K1398" s="618"/>
      <c r="L1398" s="619">
        <v>95</v>
      </c>
      <c r="M1398" s="620">
        <v>90</v>
      </c>
      <c r="N1398" s="619"/>
      <c r="O1398" s="619">
        <v>14</v>
      </c>
      <c r="P1398" s="619" t="s">
        <v>760</v>
      </c>
      <c r="Q1398" s="662" t="s">
        <v>1002</v>
      </c>
      <c r="R1398" s="618"/>
      <c r="S1398" s="621" t="s">
        <v>2216</v>
      </c>
      <c r="T1398" s="619" t="s">
        <v>1087</v>
      </c>
    </row>
    <row r="1399" spans="1:20">
      <c r="A1399" s="630">
        <v>2902211</v>
      </c>
      <c r="B1399" s="628"/>
      <c r="C1399" s="623"/>
      <c r="D1399" s="623"/>
      <c r="E1399" s="627" t="s">
        <v>2289</v>
      </c>
      <c r="F1399" s="631" t="s">
        <v>2290</v>
      </c>
      <c r="G1399" s="661">
        <v>290</v>
      </c>
      <c r="H1399" s="633">
        <v>2211</v>
      </c>
      <c r="I1399" s="618"/>
      <c r="J1399" s="619" t="s">
        <v>2289</v>
      </c>
      <c r="K1399" s="618"/>
      <c r="L1399" s="619">
        <v>95</v>
      </c>
      <c r="M1399" s="620">
        <v>90</v>
      </c>
      <c r="N1399" s="619"/>
      <c r="O1399" s="619">
        <v>14</v>
      </c>
      <c r="P1399" s="619" t="s">
        <v>760</v>
      </c>
      <c r="Q1399" s="662" t="s">
        <v>1002</v>
      </c>
      <c r="R1399" s="618"/>
      <c r="S1399" s="621" t="s">
        <v>2216</v>
      </c>
      <c r="T1399" s="619" t="s">
        <v>1090</v>
      </c>
    </row>
    <row r="1400" spans="1:20">
      <c r="A1400" s="622"/>
      <c r="B1400" s="628"/>
      <c r="C1400" s="623"/>
      <c r="D1400" s="623" t="s">
        <v>775</v>
      </c>
      <c r="E1400" s="626" t="s">
        <v>2291</v>
      </c>
      <c r="F1400" s="626"/>
      <c r="G1400" s="623"/>
      <c r="H1400" s="627"/>
      <c r="I1400" s="618"/>
      <c r="J1400" s="618"/>
      <c r="K1400" s="618"/>
      <c r="L1400" s="618"/>
      <c r="M1400" s="618"/>
      <c r="N1400" s="618"/>
      <c r="O1400" s="618"/>
      <c r="P1400" s="618"/>
      <c r="Q1400" s="662"/>
      <c r="R1400" s="618"/>
      <c r="S1400" s="621"/>
      <c r="T1400" s="618"/>
    </row>
    <row r="1401" spans="1:20">
      <c r="A1401" s="622"/>
      <c r="B1401" s="628"/>
      <c r="C1401" s="623"/>
      <c r="D1401" s="623"/>
      <c r="E1401" s="627" t="s">
        <v>2292</v>
      </c>
      <c r="F1401" s="626"/>
      <c r="G1401" s="623"/>
      <c r="H1401" s="627"/>
      <c r="I1401" s="618"/>
      <c r="J1401" s="618"/>
      <c r="K1401" s="618"/>
      <c r="L1401" s="618"/>
      <c r="M1401" s="618"/>
      <c r="N1401" s="618"/>
      <c r="O1401" s="618"/>
      <c r="P1401" s="618"/>
      <c r="Q1401" s="662"/>
      <c r="R1401" s="618"/>
      <c r="S1401" s="621"/>
      <c r="T1401" s="618"/>
    </row>
    <row r="1402" spans="1:20">
      <c r="A1402" s="630">
        <v>1112212</v>
      </c>
      <c r="B1402" s="628"/>
      <c r="C1402" s="623"/>
      <c r="D1402" s="623"/>
      <c r="E1402" s="627" t="s">
        <v>2293</v>
      </c>
      <c r="F1402" s="631" t="s">
        <v>2294</v>
      </c>
      <c r="G1402" s="661">
        <v>111</v>
      </c>
      <c r="H1402" s="633">
        <v>2212</v>
      </c>
      <c r="I1402" s="618"/>
      <c r="J1402" s="619" t="s">
        <v>2293</v>
      </c>
      <c r="K1402" s="618"/>
      <c r="L1402" s="619">
        <v>81</v>
      </c>
      <c r="M1402" s="620">
        <v>76</v>
      </c>
      <c r="N1402" s="619"/>
      <c r="O1402" s="619">
        <v>14</v>
      </c>
      <c r="P1402" s="619" t="s">
        <v>1098</v>
      </c>
      <c r="Q1402" s="662" t="s">
        <v>1002</v>
      </c>
      <c r="R1402" s="618"/>
      <c r="S1402" s="621" t="s">
        <v>2295</v>
      </c>
      <c r="T1402" s="619" t="s">
        <v>2296</v>
      </c>
    </row>
    <row r="1403" spans="1:20">
      <c r="A1403" s="630">
        <v>1132212</v>
      </c>
      <c r="B1403" s="628"/>
      <c r="C1403" s="623"/>
      <c r="D1403" s="623"/>
      <c r="E1403" s="627" t="s">
        <v>2218</v>
      </c>
      <c r="F1403" s="631" t="s">
        <v>2297</v>
      </c>
      <c r="G1403" s="661">
        <v>113</v>
      </c>
      <c r="H1403" s="633">
        <v>2212</v>
      </c>
      <c r="I1403" s="618"/>
      <c r="J1403" s="619" t="s">
        <v>2218</v>
      </c>
      <c r="K1403" s="618"/>
      <c r="L1403" s="619">
        <v>83</v>
      </c>
      <c r="M1403" s="620">
        <v>78</v>
      </c>
      <c r="N1403" s="619"/>
      <c r="O1403" s="619">
        <v>14</v>
      </c>
      <c r="P1403" s="619" t="s">
        <v>1098</v>
      </c>
      <c r="Q1403" s="662" t="s">
        <v>1002</v>
      </c>
      <c r="R1403" s="618"/>
      <c r="S1403" s="621" t="s">
        <v>2295</v>
      </c>
      <c r="T1403" s="619" t="s">
        <v>2220</v>
      </c>
    </row>
    <row r="1404" spans="1:20">
      <c r="A1404" s="630">
        <v>1142212</v>
      </c>
      <c r="B1404" s="628"/>
      <c r="C1404" s="623"/>
      <c r="D1404" s="623"/>
      <c r="E1404" s="627" t="s">
        <v>2221</v>
      </c>
      <c r="F1404" s="631" t="s">
        <v>2298</v>
      </c>
      <c r="G1404" s="661">
        <v>114</v>
      </c>
      <c r="H1404" s="633">
        <v>2212</v>
      </c>
      <c r="I1404" s="618"/>
      <c r="J1404" s="619" t="s">
        <v>2221</v>
      </c>
      <c r="K1404" s="618"/>
      <c r="L1404" s="619">
        <v>84</v>
      </c>
      <c r="M1404" s="620">
        <v>79</v>
      </c>
      <c r="N1404" s="619"/>
      <c r="O1404" s="619">
        <v>14</v>
      </c>
      <c r="P1404" s="619" t="s">
        <v>1098</v>
      </c>
      <c r="Q1404" s="662" t="s">
        <v>1002</v>
      </c>
      <c r="R1404" s="618"/>
      <c r="S1404" s="621" t="s">
        <v>2295</v>
      </c>
      <c r="T1404" s="619" t="s">
        <v>1853</v>
      </c>
    </row>
    <row r="1405" spans="1:20">
      <c r="A1405" s="630">
        <v>1002212</v>
      </c>
      <c r="B1405" s="628"/>
      <c r="C1405" s="623"/>
      <c r="D1405" s="623"/>
      <c r="E1405" s="627" t="s">
        <v>2223</v>
      </c>
      <c r="F1405" s="631" t="s">
        <v>2299</v>
      </c>
      <c r="G1405" s="661">
        <v>100</v>
      </c>
      <c r="H1405" s="633">
        <v>2212</v>
      </c>
      <c r="I1405" s="618"/>
      <c r="J1405" s="619" t="s">
        <v>2223</v>
      </c>
      <c r="K1405" s="618"/>
      <c r="L1405" s="619">
        <v>86</v>
      </c>
      <c r="M1405" s="620">
        <v>81</v>
      </c>
      <c r="N1405" s="619"/>
      <c r="O1405" s="619">
        <v>14</v>
      </c>
      <c r="P1405" s="619" t="s">
        <v>1098</v>
      </c>
      <c r="Q1405" s="662" t="s">
        <v>1002</v>
      </c>
      <c r="R1405" s="618"/>
      <c r="S1405" s="621" t="s">
        <v>2295</v>
      </c>
      <c r="T1405" s="619" t="s">
        <v>1946</v>
      </c>
    </row>
    <row r="1406" spans="1:20">
      <c r="A1406" s="630">
        <v>1402212</v>
      </c>
      <c r="B1406" s="628"/>
      <c r="C1406" s="623"/>
      <c r="D1406" s="623"/>
      <c r="E1406" s="627" t="s">
        <v>2225</v>
      </c>
      <c r="F1406" s="631" t="s">
        <v>2300</v>
      </c>
      <c r="G1406" s="661">
        <v>140</v>
      </c>
      <c r="H1406" s="633">
        <v>2212</v>
      </c>
      <c r="I1406" s="618"/>
      <c r="J1406" s="619" t="s">
        <v>2225</v>
      </c>
      <c r="K1406" s="618"/>
      <c r="L1406" s="619">
        <v>86</v>
      </c>
      <c r="M1406" s="620">
        <v>81</v>
      </c>
      <c r="N1406" s="619"/>
      <c r="O1406" s="619">
        <v>14</v>
      </c>
      <c r="P1406" s="619" t="s">
        <v>1098</v>
      </c>
      <c r="Q1406" s="662" t="s">
        <v>1002</v>
      </c>
      <c r="R1406" s="618"/>
      <c r="S1406" s="621" t="s">
        <v>2295</v>
      </c>
      <c r="T1406" s="619" t="s">
        <v>1017</v>
      </c>
    </row>
    <row r="1407" spans="1:20">
      <c r="A1407" s="630">
        <v>3002212</v>
      </c>
      <c r="B1407" s="628"/>
      <c r="C1407" s="623"/>
      <c r="D1407" s="623"/>
      <c r="E1407" s="627" t="s">
        <v>2227</v>
      </c>
      <c r="F1407" s="631" t="s">
        <v>2301</v>
      </c>
      <c r="G1407" s="661">
        <v>300</v>
      </c>
      <c r="H1407" s="633">
        <v>2212</v>
      </c>
      <c r="I1407" s="618"/>
      <c r="J1407" s="619" t="s">
        <v>2227</v>
      </c>
      <c r="K1407" s="618"/>
      <c r="L1407" s="619">
        <v>101</v>
      </c>
      <c r="M1407" s="620">
        <v>96</v>
      </c>
      <c r="N1407" s="619"/>
      <c r="O1407" s="619">
        <v>14</v>
      </c>
      <c r="P1407" s="619" t="s">
        <v>1098</v>
      </c>
      <c r="Q1407" s="662"/>
      <c r="R1407" s="618"/>
      <c r="S1407" s="621" t="s">
        <v>2295</v>
      </c>
      <c r="T1407" s="619" t="s">
        <v>2229</v>
      </c>
    </row>
    <row r="1408" spans="1:20">
      <c r="A1408" s="622"/>
      <c r="B1408" s="628"/>
      <c r="C1408" s="623"/>
      <c r="D1408" s="623"/>
      <c r="E1408" s="627" t="s">
        <v>2230</v>
      </c>
      <c r="F1408" s="626"/>
      <c r="G1408" s="623"/>
      <c r="H1408" s="627"/>
      <c r="I1408" s="618"/>
      <c r="J1408" s="618"/>
      <c r="K1408" s="618"/>
      <c r="L1408" s="618"/>
      <c r="M1408" s="618"/>
      <c r="N1408" s="618"/>
      <c r="O1408" s="618"/>
      <c r="P1408" s="618"/>
      <c r="Q1408" s="662"/>
      <c r="R1408" s="618"/>
      <c r="S1408" s="621"/>
      <c r="T1408" s="618"/>
    </row>
    <row r="1409" spans="1:20">
      <c r="A1409" s="630">
        <v>4302212</v>
      </c>
      <c r="B1409" s="628"/>
      <c r="C1409" s="623"/>
      <c r="D1409" s="623"/>
      <c r="E1409" s="627" t="s">
        <v>2231</v>
      </c>
      <c r="F1409" s="631" t="s">
        <v>2302</v>
      </c>
      <c r="G1409" s="661">
        <v>430</v>
      </c>
      <c r="H1409" s="633">
        <v>2212</v>
      </c>
      <c r="I1409" s="618"/>
      <c r="J1409" s="619" t="s">
        <v>2231</v>
      </c>
      <c r="K1409" s="618"/>
      <c r="L1409" s="619">
        <v>107</v>
      </c>
      <c r="M1409" s="620">
        <v>102</v>
      </c>
      <c r="N1409" s="619"/>
      <c r="O1409" s="619">
        <v>14</v>
      </c>
      <c r="P1409" s="619" t="s">
        <v>1098</v>
      </c>
      <c r="Q1409" s="662"/>
      <c r="R1409" s="618"/>
      <c r="S1409" s="621" t="s">
        <v>2295</v>
      </c>
      <c r="T1409" s="619" t="s">
        <v>1021</v>
      </c>
    </row>
    <row r="1410" spans="1:20">
      <c r="A1410" s="630">
        <v>4422212</v>
      </c>
      <c r="B1410" s="628"/>
      <c r="C1410" s="623"/>
      <c r="D1410" s="623"/>
      <c r="E1410" s="627" t="s">
        <v>2233</v>
      </c>
      <c r="F1410" s="631" t="s">
        <v>2303</v>
      </c>
      <c r="G1410" s="661">
        <v>442</v>
      </c>
      <c r="H1410" s="633">
        <v>2212</v>
      </c>
      <c r="I1410" s="618"/>
      <c r="J1410" s="619" t="s">
        <v>2233</v>
      </c>
      <c r="K1410" s="618"/>
      <c r="L1410" s="619">
        <v>106</v>
      </c>
      <c r="M1410" s="620">
        <v>101</v>
      </c>
      <c r="N1410" s="619"/>
      <c r="O1410" s="619">
        <v>14</v>
      </c>
      <c r="P1410" s="619" t="s">
        <v>1098</v>
      </c>
      <c r="Q1410" s="662"/>
      <c r="R1410" s="618"/>
      <c r="S1410" s="621" t="s">
        <v>2295</v>
      </c>
      <c r="T1410" s="619" t="s">
        <v>1023</v>
      </c>
    </row>
    <row r="1411" spans="1:20">
      <c r="A1411" s="630">
        <v>4002212</v>
      </c>
      <c r="B1411" s="628"/>
      <c r="C1411" s="623"/>
      <c r="D1411" s="623"/>
      <c r="E1411" s="627" t="s">
        <v>2235</v>
      </c>
      <c r="F1411" s="631" t="s">
        <v>2304</v>
      </c>
      <c r="G1411" s="661">
        <v>400</v>
      </c>
      <c r="H1411" s="633">
        <v>2212</v>
      </c>
      <c r="I1411" s="618"/>
      <c r="J1411" s="619" t="s">
        <v>2235</v>
      </c>
      <c r="K1411" s="618"/>
      <c r="L1411" s="619">
        <v>108</v>
      </c>
      <c r="M1411" s="620">
        <v>103</v>
      </c>
      <c r="N1411" s="619"/>
      <c r="O1411" s="619">
        <v>14</v>
      </c>
      <c r="P1411" s="619" t="s">
        <v>1098</v>
      </c>
      <c r="Q1411" s="662"/>
      <c r="R1411" s="618"/>
      <c r="S1411" s="621" t="s">
        <v>2295</v>
      </c>
      <c r="T1411" s="619" t="s">
        <v>2237</v>
      </c>
    </row>
    <row r="1412" spans="1:20">
      <c r="A1412" s="622"/>
      <c r="B1412" s="628"/>
      <c r="C1412" s="623"/>
      <c r="D1412" s="623"/>
      <c r="E1412" s="627" t="s">
        <v>1394</v>
      </c>
      <c r="F1412" s="626"/>
      <c r="G1412" s="623"/>
      <c r="H1412" s="627"/>
      <c r="I1412" s="618"/>
      <c r="J1412" s="618"/>
      <c r="K1412" s="618"/>
      <c r="L1412" s="618"/>
      <c r="M1412" s="618"/>
      <c r="N1412" s="618"/>
      <c r="O1412" s="618"/>
      <c r="P1412" s="618"/>
      <c r="Q1412" s="662"/>
      <c r="R1412" s="618"/>
      <c r="S1412" s="621"/>
      <c r="T1412" s="618"/>
    </row>
    <row r="1413" spans="1:20">
      <c r="A1413" s="630">
        <v>5822212</v>
      </c>
      <c r="B1413" s="628"/>
      <c r="C1413" s="623"/>
      <c r="D1413" s="623"/>
      <c r="E1413" s="627" t="s">
        <v>2238</v>
      </c>
      <c r="F1413" s="631" t="s">
        <v>2305</v>
      </c>
      <c r="G1413" s="661">
        <v>582</v>
      </c>
      <c r="H1413" s="633">
        <v>2212</v>
      </c>
      <c r="I1413" s="618"/>
      <c r="J1413" s="619" t="s">
        <v>2238</v>
      </c>
      <c r="K1413" s="618"/>
      <c r="L1413" s="619">
        <v>118</v>
      </c>
      <c r="M1413" s="620">
        <v>109</v>
      </c>
      <c r="N1413" s="619"/>
      <c r="O1413" s="619">
        <v>14</v>
      </c>
      <c r="P1413" s="619" t="s">
        <v>1098</v>
      </c>
      <c r="Q1413" s="662"/>
      <c r="R1413" s="618"/>
      <c r="S1413" s="621" t="s">
        <v>2295</v>
      </c>
      <c r="T1413" s="619" t="s">
        <v>1037</v>
      </c>
    </row>
    <row r="1414" spans="1:20">
      <c r="A1414" s="630">
        <v>5002212</v>
      </c>
      <c r="B1414" s="628"/>
      <c r="C1414" s="623"/>
      <c r="D1414" s="623"/>
      <c r="E1414" s="627" t="s">
        <v>2240</v>
      </c>
      <c r="F1414" s="631" t="s">
        <v>2306</v>
      </c>
      <c r="G1414" s="661">
        <v>500</v>
      </c>
      <c r="H1414" s="633">
        <v>2212</v>
      </c>
      <c r="I1414" s="618"/>
      <c r="J1414" s="619" t="s">
        <v>2240</v>
      </c>
      <c r="K1414" s="618"/>
      <c r="L1414" s="619">
        <v>119</v>
      </c>
      <c r="M1414" s="620">
        <v>110</v>
      </c>
      <c r="N1414" s="619"/>
      <c r="O1414" s="619">
        <v>14</v>
      </c>
      <c r="P1414" s="619" t="s">
        <v>1098</v>
      </c>
      <c r="Q1414" s="662"/>
      <c r="R1414" s="618"/>
      <c r="S1414" s="621" t="s">
        <v>2295</v>
      </c>
      <c r="T1414" s="619" t="s">
        <v>252</v>
      </c>
    </row>
    <row r="1415" spans="1:20">
      <c r="A1415" s="622"/>
      <c r="B1415" s="628"/>
      <c r="C1415" s="623"/>
      <c r="D1415" s="623"/>
      <c r="E1415" s="627" t="s">
        <v>2242</v>
      </c>
      <c r="F1415" s="626"/>
      <c r="G1415" s="623"/>
      <c r="H1415" s="627"/>
      <c r="I1415" s="618"/>
      <c r="J1415" s="618"/>
      <c r="K1415" s="618"/>
      <c r="L1415" s="618"/>
      <c r="M1415" s="618"/>
      <c r="N1415" s="618"/>
      <c r="O1415" s="618"/>
      <c r="P1415" s="618"/>
      <c r="Q1415" s="662"/>
      <c r="R1415" s="618"/>
      <c r="S1415" s="621"/>
      <c r="T1415" s="618"/>
    </row>
    <row r="1416" spans="1:20">
      <c r="A1416" s="630">
        <v>6152212</v>
      </c>
      <c r="B1416" s="628"/>
      <c r="C1416" s="623"/>
      <c r="D1416" s="623"/>
      <c r="E1416" s="627" t="s">
        <v>2243</v>
      </c>
      <c r="F1416" s="631" t="s">
        <v>2307</v>
      </c>
      <c r="G1416" s="661">
        <v>615</v>
      </c>
      <c r="H1416" s="633">
        <v>2212</v>
      </c>
      <c r="I1416" s="618"/>
      <c r="J1416" s="619" t="s">
        <v>2243</v>
      </c>
      <c r="K1416" s="618"/>
      <c r="L1416" s="619">
        <v>126</v>
      </c>
      <c r="M1416" s="620">
        <v>117</v>
      </c>
      <c r="N1416" s="619"/>
      <c r="O1416" s="619">
        <v>14</v>
      </c>
      <c r="P1416" s="619" t="s">
        <v>1098</v>
      </c>
      <c r="Q1416" s="662" t="s">
        <v>1043</v>
      </c>
      <c r="R1416" s="618"/>
      <c r="S1416" s="621" t="s">
        <v>2295</v>
      </c>
      <c r="T1416" s="619" t="s">
        <v>1041</v>
      </c>
    </row>
    <row r="1417" spans="1:20">
      <c r="A1417" s="630">
        <v>6102212</v>
      </c>
      <c r="B1417" s="628"/>
      <c r="C1417" s="623"/>
      <c r="D1417" s="623"/>
      <c r="E1417" s="627" t="s">
        <v>2245</v>
      </c>
      <c r="F1417" s="631" t="s">
        <v>2308</v>
      </c>
      <c r="G1417" s="661">
        <v>610</v>
      </c>
      <c r="H1417" s="633">
        <v>2212</v>
      </c>
      <c r="I1417" s="618"/>
      <c r="J1417" s="619" t="s">
        <v>2245</v>
      </c>
      <c r="K1417" s="618"/>
      <c r="L1417" s="619">
        <v>122</v>
      </c>
      <c r="M1417" s="620">
        <v>113</v>
      </c>
      <c r="N1417" s="619"/>
      <c r="O1417" s="619">
        <v>14</v>
      </c>
      <c r="P1417" s="619" t="s">
        <v>1098</v>
      </c>
      <c r="Q1417" s="662" t="s">
        <v>1043</v>
      </c>
      <c r="R1417" s="618"/>
      <c r="S1417" s="621" t="s">
        <v>2295</v>
      </c>
      <c r="T1417" s="619" t="s">
        <v>39</v>
      </c>
    </row>
    <row r="1418" spans="1:20">
      <c r="A1418" s="630">
        <v>6002212</v>
      </c>
      <c r="B1418" s="628"/>
      <c r="C1418" s="623"/>
      <c r="D1418" s="623"/>
      <c r="E1418" s="627" t="s">
        <v>2247</v>
      </c>
      <c r="F1418" s="631" t="s">
        <v>2309</v>
      </c>
      <c r="G1418" s="661">
        <v>600</v>
      </c>
      <c r="H1418" s="633">
        <v>2212</v>
      </c>
      <c r="I1418" s="618"/>
      <c r="J1418" s="619" t="s">
        <v>2247</v>
      </c>
      <c r="K1418" s="618"/>
      <c r="L1418" s="619">
        <v>126</v>
      </c>
      <c r="M1418" s="620">
        <v>117</v>
      </c>
      <c r="N1418" s="619"/>
      <c r="O1418" s="619">
        <v>14</v>
      </c>
      <c r="P1418" s="619" t="s">
        <v>1098</v>
      </c>
      <c r="Q1418" s="662"/>
      <c r="R1418" s="618"/>
      <c r="S1418" s="621" t="s">
        <v>2295</v>
      </c>
      <c r="T1418" s="619" t="s">
        <v>1048</v>
      </c>
    </row>
    <row r="1419" spans="1:20">
      <c r="A1419" s="622"/>
      <c r="B1419" s="628"/>
      <c r="C1419" s="623"/>
      <c r="D1419" s="623"/>
      <c r="E1419" s="627" t="s">
        <v>2249</v>
      </c>
      <c r="F1419" s="626"/>
      <c r="G1419" s="623"/>
      <c r="H1419" s="627"/>
      <c r="I1419" s="618"/>
      <c r="J1419" s="618"/>
      <c r="K1419" s="618"/>
      <c r="L1419" s="618"/>
      <c r="M1419" s="618"/>
      <c r="N1419" s="618"/>
      <c r="O1419" s="618"/>
      <c r="P1419" s="618"/>
      <c r="Q1419" s="662"/>
      <c r="R1419" s="618"/>
      <c r="S1419" s="621"/>
      <c r="T1419" s="618"/>
    </row>
    <row r="1420" spans="1:20">
      <c r="A1420" s="630">
        <v>7342212</v>
      </c>
      <c r="B1420" s="628"/>
      <c r="C1420" s="623"/>
      <c r="D1420" s="623"/>
      <c r="E1420" s="627" t="s">
        <v>2250</v>
      </c>
      <c r="F1420" s="631" t="s">
        <v>2310</v>
      </c>
      <c r="G1420" s="661">
        <v>734</v>
      </c>
      <c r="H1420" s="633">
        <v>2212</v>
      </c>
      <c r="I1420" s="618"/>
      <c r="J1420" s="619" t="s">
        <v>2250</v>
      </c>
      <c r="K1420" s="618"/>
      <c r="L1420" s="619">
        <v>131</v>
      </c>
      <c r="M1420" s="620">
        <v>122</v>
      </c>
      <c r="N1420" s="619"/>
      <c r="O1420" s="619">
        <v>14</v>
      </c>
      <c r="P1420" s="619" t="s">
        <v>760</v>
      </c>
      <c r="Q1420" s="662"/>
      <c r="R1420" s="618"/>
      <c r="S1420" s="621" t="s">
        <v>2295</v>
      </c>
      <c r="T1420" s="619" t="s">
        <v>1051</v>
      </c>
    </row>
    <row r="1421" spans="1:20">
      <c r="A1421" s="630">
        <v>7352212</v>
      </c>
      <c r="B1421" s="628"/>
      <c r="C1421" s="623"/>
      <c r="D1421" s="623"/>
      <c r="E1421" s="627" t="s">
        <v>2252</v>
      </c>
      <c r="F1421" s="631" t="s">
        <v>2311</v>
      </c>
      <c r="G1421" s="661">
        <v>735</v>
      </c>
      <c r="H1421" s="633">
        <v>2212</v>
      </c>
      <c r="I1421" s="618"/>
      <c r="J1421" s="619" t="s">
        <v>2252</v>
      </c>
      <c r="K1421" s="618"/>
      <c r="L1421" s="619">
        <v>131</v>
      </c>
      <c r="M1421" s="620">
        <v>122</v>
      </c>
      <c r="N1421" s="619"/>
      <c r="O1421" s="619">
        <v>14</v>
      </c>
      <c r="P1421" s="619" t="s">
        <v>760</v>
      </c>
      <c r="Q1421" s="662"/>
      <c r="R1421" s="618"/>
      <c r="S1421" s="621" t="s">
        <v>2295</v>
      </c>
      <c r="T1421" s="619" t="s">
        <v>1053</v>
      </c>
    </row>
    <row r="1422" spans="1:20">
      <c r="A1422" s="630">
        <v>7302212</v>
      </c>
      <c r="B1422" s="628"/>
      <c r="C1422" s="623"/>
      <c r="D1422" s="623"/>
      <c r="E1422" s="627" t="s">
        <v>2254</v>
      </c>
      <c r="F1422" s="631" t="s">
        <v>2312</v>
      </c>
      <c r="G1422" s="661">
        <v>730</v>
      </c>
      <c r="H1422" s="633">
        <v>2212</v>
      </c>
      <c r="I1422" s="618"/>
      <c r="J1422" s="619" t="s">
        <v>2254</v>
      </c>
      <c r="K1422" s="618"/>
      <c r="L1422" s="619">
        <v>131</v>
      </c>
      <c r="M1422" s="620">
        <v>122</v>
      </c>
      <c r="N1422" s="619"/>
      <c r="O1422" s="619">
        <v>14</v>
      </c>
      <c r="P1422" s="619" t="s">
        <v>760</v>
      </c>
      <c r="Q1422" s="662"/>
      <c r="R1422" s="618"/>
      <c r="S1422" s="621" t="s">
        <v>2295</v>
      </c>
      <c r="T1422" s="619" t="s">
        <v>1055</v>
      </c>
    </row>
    <row r="1423" spans="1:20">
      <c r="A1423" s="630">
        <v>7002212</v>
      </c>
      <c r="B1423" s="628"/>
      <c r="C1423" s="623"/>
      <c r="D1423" s="623"/>
      <c r="E1423" s="627" t="s">
        <v>2256</v>
      </c>
      <c r="F1423" s="631" t="s">
        <v>2313</v>
      </c>
      <c r="G1423" s="661">
        <v>700</v>
      </c>
      <c r="H1423" s="633">
        <v>2212</v>
      </c>
      <c r="I1423" s="618"/>
      <c r="J1423" s="619" t="s">
        <v>2256</v>
      </c>
      <c r="K1423" s="618"/>
      <c r="L1423" s="619">
        <v>132</v>
      </c>
      <c r="M1423" s="620">
        <v>123</v>
      </c>
      <c r="N1423" s="619"/>
      <c r="O1423" s="619">
        <v>14</v>
      </c>
      <c r="P1423" s="619" t="s">
        <v>760</v>
      </c>
      <c r="Q1423" s="662"/>
      <c r="R1423" s="618"/>
      <c r="S1423" s="621" t="s">
        <v>2295</v>
      </c>
      <c r="T1423" s="619" t="s">
        <v>1057</v>
      </c>
    </row>
    <row r="1424" spans="1:20">
      <c r="A1424" s="622"/>
      <c r="B1424" s="628"/>
      <c r="C1424" s="623"/>
      <c r="D1424" s="623"/>
      <c r="E1424" s="627" t="s">
        <v>2258</v>
      </c>
      <c r="F1424" s="626"/>
      <c r="G1424" s="623"/>
      <c r="H1424" s="627"/>
      <c r="I1424" s="618"/>
      <c r="J1424" s="618"/>
      <c r="K1424" s="618"/>
      <c r="L1424" s="618"/>
      <c r="M1424" s="618"/>
      <c r="N1424" s="618"/>
      <c r="O1424" s="618"/>
      <c r="P1424" s="618"/>
      <c r="Q1424" s="662"/>
      <c r="R1424" s="618"/>
      <c r="S1424" s="621"/>
      <c r="T1424" s="618"/>
    </row>
    <row r="1425" spans="1:20">
      <c r="A1425" s="630">
        <v>8952212</v>
      </c>
      <c r="B1425" s="628"/>
      <c r="C1425" s="623"/>
      <c r="D1425" s="623"/>
      <c r="E1425" s="627" t="s">
        <v>2259</v>
      </c>
      <c r="F1425" s="631" t="s">
        <v>2314</v>
      </c>
      <c r="G1425" s="661">
        <v>895</v>
      </c>
      <c r="H1425" s="633">
        <v>2212</v>
      </c>
      <c r="I1425" s="618"/>
      <c r="J1425" s="619" t="s">
        <v>2259</v>
      </c>
      <c r="K1425" s="618"/>
      <c r="L1425" s="619">
        <v>139</v>
      </c>
      <c r="M1425" s="620">
        <v>129</v>
      </c>
      <c r="N1425" s="619"/>
      <c r="O1425" s="619">
        <v>14</v>
      </c>
      <c r="P1425" s="619" t="s">
        <v>1098</v>
      </c>
      <c r="Q1425" s="662"/>
      <c r="R1425" s="618"/>
      <c r="S1425" s="621" t="s">
        <v>2295</v>
      </c>
      <c r="T1425" s="619" t="s">
        <v>2261</v>
      </c>
    </row>
    <row r="1426" spans="1:20">
      <c r="A1426" s="630">
        <v>8002212</v>
      </c>
      <c r="B1426" s="670"/>
      <c r="C1426" s="632"/>
      <c r="D1426" s="632"/>
      <c r="E1426" s="637" t="s">
        <v>2262</v>
      </c>
      <c r="F1426" s="631" t="s">
        <v>2315</v>
      </c>
      <c r="G1426" s="661">
        <v>800</v>
      </c>
      <c r="H1426" s="633">
        <v>2212</v>
      </c>
      <c r="I1426" s="618"/>
      <c r="J1426" s="619" t="s">
        <v>2262</v>
      </c>
      <c r="K1426" s="618"/>
      <c r="L1426" s="619">
        <v>139</v>
      </c>
      <c r="M1426" s="620">
        <v>129</v>
      </c>
      <c r="N1426" s="619"/>
      <c r="O1426" s="619">
        <v>14</v>
      </c>
      <c r="P1426" s="619" t="s">
        <v>1098</v>
      </c>
      <c r="Q1426" s="662"/>
      <c r="R1426" s="618"/>
      <c r="S1426" s="621" t="s">
        <v>2295</v>
      </c>
      <c r="T1426" s="619" t="s">
        <v>1061</v>
      </c>
    </row>
    <row r="1427" spans="1:20">
      <c r="A1427" s="622"/>
      <c r="B1427" s="628"/>
      <c r="C1427" s="623"/>
      <c r="D1427" s="623"/>
      <c r="E1427" s="627" t="s">
        <v>2264</v>
      </c>
      <c r="F1427" s="626"/>
      <c r="G1427" s="623"/>
      <c r="H1427" s="627"/>
      <c r="I1427" s="618"/>
      <c r="J1427" s="618"/>
      <c r="K1427" s="618"/>
      <c r="L1427" s="618"/>
      <c r="M1427" s="618"/>
      <c r="N1427" s="618"/>
      <c r="O1427" s="618"/>
      <c r="P1427" s="618"/>
      <c r="Q1427" s="662"/>
      <c r="R1427" s="618"/>
      <c r="S1427" s="621"/>
      <c r="T1427" s="618"/>
    </row>
    <row r="1428" spans="1:20">
      <c r="A1428" s="630">
        <v>2102212</v>
      </c>
      <c r="B1428" s="628"/>
      <c r="C1428" s="623"/>
      <c r="D1428" s="623"/>
      <c r="E1428" s="627" t="s">
        <v>2265</v>
      </c>
      <c r="F1428" s="631" t="s">
        <v>2316</v>
      </c>
      <c r="G1428" s="661">
        <v>210</v>
      </c>
      <c r="H1428" s="633">
        <v>2212</v>
      </c>
      <c r="I1428" s="618"/>
      <c r="J1428" s="619" t="s">
        <v>2265</v>
      </c>
      <c r="K1428" s="618"/>
      <c r="L1428" s="619">
        <v>89</v>
      </c>
      <c r="M1428" s="620">
        <v>84</v>
      </c>
      <c r="N1428" s="619"/>
      <c r="O1428" s="619">
        <v>14</v>
      </c>
      <c r="P1428" s="619" t="s">
        <v>1098</v>
      </c>
      <c r="Q1428" s="662" t="s">
        <v>1002</v>
      </c>
      <c r="R1428" s="618"/>
      <c r="S1428" s="621" t="s">
        <v>2295</v>
      </c>
      <c r="T1428" s="619" t="s">
        <v>1064</v>
      </c>
    </row>
    <row r="1429" spans="1:20">
      <c r="A1429" s="630">
        <v>2202212</v>
      </c>
      <c r="B1429" s="628"/>
      <c r="C1429" s="623"/>
      <c r="D1429" s="623"/>
      <c r="E1429" s="627" t="s">
        <v>2267</v>
      </c>
      <c r="F1429" s="631" t="s">
        <v>2317</v>
      </c>
      <c r="G1429" s="661">
        <v>220</v>
      </c>
      <c r="H1429" s="633">
        <v>2212</v>
      </c>
      <c r="I1429" s="618"/>
      <c r="J1429" s="619" t="s">
        <v>2267</v>
      </c>
      <c r="K1429" s="618"/>
      <c r="L1429" s="619">
        <v>90</v>
      </c>
      <c r="M1429" s="620">
        <v>85</v>
      </c>
      <c r="N1429" s="619"/>
      <c r="O1429" s="619">
        <v>14</v>
      </c>
      <c r="P1429" s="619" t="s">
        <v>1098</v>
      </c>
      <c r="Q1429" s="662" t="s">
        <v>1002</v>
      </c>
      <c r="R1429" s="618"/>
      <c r="S1429" s="621" t="s">
        <v>2295</v>
      </c>
      <c r="T1429" s="619" t="s">
        <v>1066</v>
      </c>
    </row>
    <row r="1430" spans="1:20">
      <c r="A1430" s="630">
        <v>2252212</v>
      </c>
      <c r="B1430" s="628"/>
      <c r="C1430" s="623"/>
      <c r="D1430" s="623"/>
      <c r="E1430" s="627" t="s">
        <v>2269</v>
      </c>
      <c r="F1430" s="631" t="s">
        <v>2318</v>
      </c>
      <c r="G1430" s="661">
        <v>225</v>
      </c>
      <c r="H1430" s="633">
        <v>2212</v>
      </c>
      <c r="I1430" s="618"/>
      <c r="J1430" s="619" t="s">
        <v>2269</v>
      </c>
      <c r="K1430" s="618"/>
      <c r="L1430" s="619">
        <v>91</v>
      </c>
      <c r="M1430" s="620">
        <v>86</v>
      </c>
      <c r="N1430" s="619"/>
      <c r="O1430" s="619">
        <v>14</v>
      </c>
      <c r="P1430" s="619" t="s">
        <v>1098</v>
      </c>
      <c r="Q1430" s="662" t="s">
        <v>1002</v>
      </c>
      <c r="R1430" s="618"/>
      <c r="S1430" s="621" t="s">
        <v>2295</v>
      </c>
      <c r="T1430" s="619" t="s">
        <v>23</v>
      </c>
    </row>
    <row r="1431" spans="1:20">
      <c r="A1431" s="622"/>
      <c r="B1431" s="628"/>
      <c r="C1431" s="623"/>
      <c r="D1431" s="623"/>
      <c r="E1431" s="627" t="s">
        <v>2271</v>
      </c>
      <c r="F1431" s="626"/>
      <c r="G1431" s="623"/>
      <c r="H1431" s="627"/>
      <c r="I1431" s="618"/>
      <c r="J1431" s="618"/>
      <c r="K1431" s="618"/>
      <c r="L1431" s="618"/>
      <c r="M1431" s="618"/>
      <c r="N1431" s="618"/>
      <c r="O1431" s="618"/>
      <c r="P1431" s="618"/>
      <c r="Q1431" s="662"/>
      <c r="R1431" s="618"/>
      <c r="S1431" s="621"/>
      <c r="T1431" s="618"/>
    </row>
    <row r="1432" spans="1:20">
      <c r="A1432" s="630">
        <v>2312212</v>
      </c>
      <c r="B1432" s="628"/>
      <c r="C1432" s="623"/>
      <c r="D1432" s="623"/>
      <c r="E1432" s="627" t="s">
        <v>2272</v>
      </c>
      <c r="F1432" s="631" t="s">
        <v>2319</v>
      </c>
      <c r="G1432" s="661">
        <v>231</v>
      </c>
      <c r="H1432" s="633">
        <v>2212</v>
      </c>
      <c r="I1432" s="618"/>
      <c r="J1432" s="619" t="s">
        <v>2272</v>
      </c>
      <c r="K1432" s="618"/>
      <c r="L1432" s="619">
        <v>92</v>
      </c>
      <c r="M1432" s="620">
        <v>87</v>
      </c>
      <c r="N1432" s="619"/>
      <c r="O1432" s="619">
        <v>14</v>
      </c>
      <c r="P1432" s="619" t="s">
        <v>1098</v>
      </c>
      <c r="Q1432" s="662" t="s">
        <v>1002</v>
      </c>
      <c r="R1432" s="618"/>
      <c r="S1432" s="621" t="s">
        <v>2295</v>
      </c>
      <c r="T1432" s="619" t="s">
        <v>1072</v>
      </c>
    </row>
    <row r="1433" spans="1:20">
      <c r="A1433" s="630">
        <v>2332212</v>
      </c>
      <c r="B1433" s="628"/>
      <c r="C1433" s="623"/>
      <c r="D1433" s="623"/>
      <c r="E1433" s="627" t="s">
        <v>2274</v>
      </c>
      <c r="F1433" s="631" t="s">
        <v>2320</v>
      </c>
      <c r="G1433" s="661">
        <v>233</v>
      </c>
      <c r="H1433" s="633">
        <v>2212</v>
      </c>
      <c r="I1433" s="618"/>
      <c r="J1433" s="619" t="s">
        <v>2274</v>
      </c>
      <c r="K1433" s="618"/>
      <c r="L1433" s="619">
        <v>92</v>
      </c>
      <c r="M1433" s="620">
        <v>87</v>
      </c>
      <c r="N1433" s="619"/>
      <c r="O1433" s="619">
        <v>14</v>
      </c>
      <c r="P1433" s="619" t="s">
        <v>1098</v>
      </c>
      <c r="Q1433" s="662" t="s">
        <v>1002</v>
      </c>
      <c r="R1433" s="618"/>
      <c r="S1433" s="621" t="s">
        <v>2295</v>
      </c>
      <c r="T1433" s="619" t="s">
        <v>2276</v>
      </c>
    </row>
    <row r="1434" spans="1:20">
      <c r="A1434" s="630">
        <v>2392212</v>
      </c>
      <c r="B1434" s="628"/>
      <c r="C1434" s="623"/>
      <c r="D1434" s="623"/>
      <c r="E1434" s="627" t="s">
        <v>2277</v>
      </c>
      <c r="F1434" s="631" t="s">
        <v>2321</v>
      </c>
      <c r="G1434" s="661">
        <v>239</v>
      </c>
      <c r="H1434" s="633">
        <v>2212</v>
      </c>
      <c r="I1434" s="618"/>
      <c r="J1434" s="619" t="s">
        <v>2277</v>
      </c>
      <c r="K1434" s="618"/>
      <c r="L1434" s="619">
        <v>92</v>
      </c>
      <c r="M1434" s="620">
        <v>87</v>
      </c>
      <c r="N1434" s="619"/>
      <c r="O1434" s="619">
        <v>14</v>
      </c>
      <c r="P1434" s="619" t="s">
        <v>1098</v>
      </c>
      <c r="Q1434" s="662" t="s">
        <v>1002</v>
      </c>
      <c r="R1434" s="618"/>
      <c r="S1434" s="621" t="s">
        <v>2295</v>
      </c>
      <c r="T1434" s="619" t="s">
        <v>1078</v>
      </c>
    </row>
    <row r="1435" spans="1:20">
      <c r="A1435" s="630">
        <v>2502212</v>
      </c>
      <c r="B1435" s="628"/>
      <c r="C1435" s="623"/>
      <c r="D1435" s="623"/>
      <c r="E1435" s="627" t="s">
        <v>2279</v>
      </c>
      <c r="F1435" s="631" t="s">
        <v>2322</v>
      </c>
      <c r="G1435" s="661">
        <v>250</v>
      </c>
      <c r="H1435" s="633">
        <v>2212</v>
      </c>
      <c r="I1435" s="618"/>
      <c r="J1435" s="619" t="s">
        <v>2279</v>
      </c>
      <c r="K1435" s="618"/>
      <c r="L1435" s="619">
        <v>93</v>
      </c>
      <c r="M1435" s="620">
        <v>88</v>
      </c>
      <c r="N1435" s="619"/>
      <c r="O1435" s="619">
        <v>14</v>
      </c>
      <c r="P1435" s="619" t="s">
        <v>1098</v>
      </c>
      <c r="Q1435" s="662" t="s">
        <v>1002</v>
      </c>
      <c r="R1435" s="618"/>
      <c r="S1435" s="621" t="s">
        <v>2295</v>
      </c>
      <c r="T1435" s="619" t="s">
        <v>1079</v>
      </c>
    </row>
    <row r="1436" spans="1:20">
      <c r="A1436" s="630">
        <v>2602212</v>
      </c>
      <c r="B1436" s="628"/>
      <c r="C1436" s="623"/>
      <c r="D1436" s="623"/>
      <c r="E1436" s="627" t="s">
        <v>2281</v>
      </c>
      <c r="F1436" s="631" t="s">
        <v>2323</v>
      </c>
      <c r="G1436" s="661">
        <v>260</v>
      </c>
      <c r="H1436" s="633">
        <v>2212</v>
      </c>
      <c r="I1436" s="618"/>
      <c r="J1436" s="619" t="s">
        <v>2281</v>
      </c>
      <c r="K1436" s="618"/>
      <c r="L1436" s="619">
        <v>95</v>
      </c>
      <c r="M1436" s="620">
        <v>90</v>
      </c>
      <c r="N1436" s="619"/>
      <c r="O1436" s="619">
        <v>14</v>
      </c>
      <c r="P1436" s="619" t="s">
        <v>1098</v>
      </c>
      <c r="Q1436" s="662" t="s">
        <v>1002</v>
      </c>
      <c r="R1436" s="618"/>
      <c r="S1436" s="621" t="s">
        <v>2295</v>
      </c>
      <c r="T1436" s="619" t="s">
        <v>1081</v>
      </c>
    </row>
    <row r="1437" spans="1:20">
      <c r="A1437" s="630">
        <v>2702212</v>
      </c>
      <c r="B1437" s="628"/>
      <c r="C1437" s="623"/>
      <c r="D1437" s="623"/>
      <c r="E1437" s="627" t="s">
        <v>2283</v>
      </c>
      <c r="F1437" s="631" t="s">
        <v>2324</v>
      </c>
      <c r="G1437" s="661">
        <v>270</v>
      </c>
      <c r="H1437" s="633">
        <v>2212</v>
      </c>
      <c r="I1437" s="618"/>
      <c r="J1437" s="619" t="s">
        <v>2283</v>
      </c>
      <c r="K1437" s="618"/>
      <c r="L1437" s="619">
        <v>94</v>
      </c>
      <c r="M1437" s="620">
        <v>89</v>
      </c>
      <c r="N1437" s="619"/>
      <c r="O1437" s="619">
        <v>14</v>
      </c>
      <c r="P1437" s="619" t="s">
        <v>1098</v>
      </c>
      <c r="Q1437" s="662" t="s">
        <v>1002</v>
      </c>
      <c r="R1437" s="618"/>
      <c r="S1437" s="621" t="s">
        <v>2295</v>
      </c>
      <c r="T1437" s="619" t="s">
        <v>1083</v>
      </c>
    </row>
    <row r="1438" spans="1:20">
      <c r="A1438" s="630">
        <v>2812212</v>
      </c>
      <c r="B1438" s="628"/>
      <c r="C1438" s="623"/>
      <c r="D1438" s="623"/>
      <c r="E1438" s="627" t="s">
        <v>2285</v>
      </c>
      <c r="F1438" s="631" t="s">
        <v>2325</v>
      </c>
      <c r="G1438" s="661">
        <v>281</v>
      </c>
      <c r="H1438" s="633">
        <v>2212</v>
      </c>
      <c r="I1438" s="618"/>
      <c r="J1438" s="619" t="s">
        <v>2285</v>
      </c>
      <c r="K1438" s="618"/>
      <c r="L1438" s="619">
        <v>95</v>
      </c>
      <c r="M1438" s="620">
        <v>90</v>
      </c>
      <c r="N1438" s="619"/>
      <c r="O1438" s="619">
        <v>14</v>
      </c>
      <c r="P1438" s="619" t="s">
        <v>1098</v>
      </c>
      <c r="Q1438" s="662" t="s">
        <v>1002</v>
      </c>
      <c r="R1438" s="618"/>
      <c r="S1438" s="621" t="s">
        <v>2295</v>
      </c>
      <c r="T1438" s="619" t="s">
        <v>1085</v>
      </c>
    </row>
    <row r="1439" spans="1:20">
      <c r="A1439" s="630">
        <v>2822212</v>
      </c>
      <c r="B1439" s="628"/>
      <c r="C1439" s="623"/>
      <c r="D1439" s="623"/>
      <c r="E1439" s="627" t="s">
        <v>2287</v>
      </c>
      <c r="F1439" s="631" t="s">
        <v>2326</v>
      </c>
      <c r="G1439" s="661">
        <v>282</v>
      </c>
      <c r="H1439" s="633">
        <v>2212</v>
      </c>
      <c r="I1439" s="618"/>
      <c r="J1439" s="619" t="s">
        <v>2287</v>
      </c>
      <c r="K1439" s="618"/>
      <c r="L1439" s="619">
        <v>95</v>
      </c>
      <c r="M1439" s="620">
        <v>90</v>
      </c>
      <c r="N1439" s="619"/>
      <c r="O1439" s="619">
        <v>14</v>
      </c>
      <c r="P1439" s="619" t="s">
        <v>1098</v>
      </c>
      <c r="Q1439" s="662" t="s">
        <v>1002</v>
      </c>
      <c r="R1439" s="618"/>
      <c r="S1439" s="621" t="s">
        <v>2295</v>
      </c>
      <c r="T1439" s="619" t="s">
        <v>1087</v>
      </c>
    </row>
    <row r="1440" spans="1:20">
      <c r="A1440" s="630">
        <v>2902212</v>
      </c>
      <c r="B1440" s="628"/>
      <c r="C1440" s="623"/>
      <c r="D1440" s="623"/>
      <c r="E1440" s="627" t="s">
        <v>2289</v>
      </c>
      <c r="F1440" s="631" t="s">
        <v>2327</v>
      </c>
      <c r="G1440" s="661">
        <v>290</v>
      </c>
      <c r="H1440" s="633">
        <v>2212</v>
      </c>
      <c r="I1440" s="618"/>
      <c r="J1440" s="619" t="s">
        <v>2289</v>
      </c>
      <c r="K1440" s="618"/>
      <c r="L1440" s="619">
        <v>95</v>
      </c>
      <c r="M1440" s="620">
        <v>90</v>
      </c>
      <c r="N1440" s="619"/>
      <c r="O1440" s="619">
        <v>14</v>
      </c>
      <c r="P1440" s="619" t="s">
        <v>1098</v>
      </c>
      <c r="Q1440" s="662" t="s">
        <v>1002</v>
      </c>
      <c r="R1440" s="618"/>
      <c r="S1440" s="621" t="s">
        <v>2295</v>
      </c>
      <c r="T1440" s="619" t="s">
        <v>1090</v>
      </c>
    </row>
    <row r="1441" spans="1:20">
      <c r="A1441" s="622"/>
      <c r="B1441" s="628"/>
      <c r="C1441" s="623"/>
      <c r="D1441" s="623" t="s">
        <v>799</v>
      </c>
      <c r="E1441" s="626" t="s">
        <v>2328</v>
      </c>
      <c r="F1441" s="626"/>
      <c r="G1441" s="623"/>
      <c r="H1441" s="627"/>
      <c r="I1441" s="618"/>
      <c r="J1441" s="618"/>
      <c r="K1441" s="618"/>
      <c r="L1441" s="618"/>
      <c r="M1441" s="618"/>
      <c r="N1441" s="618"/>
      <c r="O1441" s="618"/>
      <c r="P1441" s="618"/>
      <c r="Q1441" s="662"/>
      <c r="R1441" s="618"/>
      <c r="S1441" s="621"/>
      <c r="T1441" s="618"/>
    </row>
    <row r="1442" spans="1:20">
      <c r="A1442" s="622"/>
      <c r="B1442" s="628"/>
      <c r="C1442" s="623"/>
      <c r="D1442" s="623"/>
      <c r="E1442" s="627" t="s">
        <v>2329</v>
      </c>
      <c r="F1442" s="626"/>
      <c r="G1442" s="623"/>
      <c r="H1442" s="627"/>
      <c r="I1442" s="618"/>
      <c r="J1442" s="618"/>
      <c r="K1442" s="618"/>
      <c r="L1442" s="618"/>
      <c r="M1442" s="618"/>
      <c r="N1442" s="618"/>
      <c r="O1442" s="618"/>
      <c r="P1442" s="618"/>
      <c r="Q1442" s="662"/>
      <c r="R1442" s="618"/>
      <c r="S1442" s="621"/>
      <c r="T1442" s="618"/>
    </row>
    <row r="1443" spans="1:20">
      <c r="A1443" s="630">
        <v>1112213</v>
      </c>
      <c r="B1443" s="628"/>
      <c r="C1443" s="623"/>
      <c r="D1443" s="623"/>
      <c r="E1443" s="627" t="s">
        <v>2330</v>
      </c>
      <c r="F1443" s="631" t="s">
        <v>2331</v>
      </c>
      <c r="G1443" s="661">
        <v>111</v>
      </c>
      <c r="H1443" s="633">
        <v>2213</v>
      </c>
      <c r="I1443" s="618"/>
      <c r="J1443" s="619" t="s">
        <v>2330</v>
      </c>
      <c r="K1443" s="618"/>
      <c r="L1443" s="619">
        <v>81</v>
      </c>
      <c r="M1443" s="620">
        <v>76</v>
      </c>
      <c r="N1443" s="619"/>
      <c r="O1443" s="619">
        <v>14</v>
      </c>
      <c r="P1443" s="619" t="s">
        <v>760</v>
      </c>
      <c r="Q1443" s="662" t="s">
        <v>1002</v>
      </c>
      <c r="R1443" s="618"/>
      <c r="S1443" s="621" t="s">
        <v>2332</v>
      </c>
      <c r="T1443" s="619" t="s">
        <v>2217</v>
      </c>
    </row>
    <row r="1444" spans="1:20">
      <c r="A1444" s="630">
        <v>1132213</v>
      </c>
      <c r="B1444" s="628"/>
      <c r="C1444" s="623"/>
      <c r="D1444" s="623"/>
      <c r="E1444" s="627" t="s">
        <v>2218</v>
      </c>
      <c r="F1444" s="631" t="s">
        <v>2333</v>
      </c>
      <c r="G1444" s="661">
        <v>113</v>
      </c>
      <c r="H1444" s="633">
        <v>2213</v>
      </c>
      <c r="I1444" s="618"/>
      <c r="J1444" s="619" t="s">
        <v>2218</v>
      </c>
      <c r="K1444" s="618"/>
      <c r="L1444" s="619">
        <v>83</v>
      </c>
      <c r="M1444" s="620">
        <v>78</v>
      </c>
      <c r="N1444" s="619"/>
      <c r="O1444" s="619">
        <v>14</v>
      </c>
      <c r="P1444" s="619" t="s">
        <v>760</v>
      </c>
      <c r="Q1444" s="662" t="s">
        <v>1002</v>
      </c>
      <c r="R1444" s="618"/>
      <c r="S1444" s="621" t="s">
        <v>2332</v>
      </c>
      <c r="T1444" s="619" t="s">
        <v>2220</v>
      </c>
    </row>
    <row r="1445" spans="1:20">
      <c r="A1445" s="630">
        <v>1142213</v>
      </c>
      <c r="B1445" s="628"/>
      <c r="C1445" s="623"/>
      <c r="D1445" s="623"/>
      <c r="E1445" s="627" t="s">
        <v>2221</v>
      </c>
      <c r="F1445" s="631" t="s">
        <v>2334</v>
      </c>
      <c r="G1445" s="661">
        <v>114</v>
      </c>
      <c r="H1445" s="633">
        <v>2213</v>
      </c>
      <c r="I1445" s="618"/>
      <c r="J1445" s="619" t="s">
        <v>2221</v>
      </c>
      <c r="K1445" s="618"/>
      <c r="L1445" s="619">
        <v>84</v>
      </c>
      <c r="M1445" s="620">
        <v>79</v>
      </c>
      <c r="N1445" s="619"/>
      <c r="O1445" s="619">
        <v>14</v>
      </c>
      <c r="P1445" s="619" t="s">
        <v>760</v>
      </c>
      <c r="Q1445" s="662" t="s">
        <v>1002</v>
      </c>
      <c r="R1445" s="618"/>
      <c r="S1445" s="621" t="s">
        <v>2332</v>
      </c>
      <c r="T1445" s="619" t="s">
        <v>1853</v>
      </c>
    </row>
    <row r="1446" spans="1:20">
      <c r="A1446" s="630">
        <v>1002213</v>
      </c>
      <c r="B1446" s="628"/>
      <c r="C1446" s="623"/>
      <c r="D1446" s="623"/>
      <c r="E1446" s="627" t="s">
        <v>2223</v>
      </c>
      <c r="F1446" s="631" t="s">
        <v>2335</v>
      </c>
      <c r="G1446" s="661">
        <v>100</v>
      </c>
      <c r="H1446" s="633">
        <v>2213</v>
      </c>
      <c r="I1446" s="618"/>
      <c r="J1446" s="619" t="s">
        <v>2223</v>
      </c>
      <c r="K1446" s="618"/>
      <c r="L1446" s="619">
        <v>86</v>
      </c>
      <c r="M1446" s="620">
        <v>81</v>
      </c>
      <c r="N1446" s="619"/>
      <c r="O1446" s="619">
        <v>14</v>
      </c>
      <c r="P1446" s="619" t="s">
        <v>760</v>
      </c>
      <c r="Q1446" s="662" t="s">
        <v>1002</v>
      </c>
      <c r="R1446" s="618"/>
      <c r="S1446" s="621" t="s">
        <v>2332</v>
      </c>
      <c r="T1446" s="619" t="s">
        <v>1946</v>
      </c>
    </row>
    <row r="1447" spans="1:20">
      <c r="A1447" s="630">
        <v>1402213</v>
      </c>
      <c r="B1447" s="628"/>
      <c r="C1447" s="623"/>
      <c r="D1447" s="623"/>
      <c r="E1447" s="627" t="s">
        <v>2225</v>
      </c>
      <c r="F1447" s="631" t="s">
        <v>2336</v>
      </c>
      <c r="G1447" s="661">
        <v>140</v>
      </c>
      <c r="H1447" s="633">
        <v>2213</v>
      </c>
      <c r="I1447" s="618"/>
      <c r="J1447" s="619" t="s">
        <v>2225</v>
      </c>
      <c r="K1447" s="618"/>
      <c r="L1447" s="619">
        <v>86</v>
      </c>
      <c r="M1447" s="620">
        <v>81</v>
      </c>
      <c r="N1447" s="619"/>
      <c r="O1447" s="619">
        <v>14</v>
      </c>
      <c r="P1447" s="619" t="s">
        <v>760</v>
      </c>
      <c r="Q1447" s="662" t="s">
        <v>1002</v>
      </c>
      <c r="R1447" s="618"/>
      <c r="S1447" s="621" t="s">
        <v>2332</v>
      </c>
      <c r="T1447" s="619" t="s">
        <v>1017</v>
      </c>
    </row>
    <row r="1448" spans="1:20">
      <c r="A1448" s="630">
        <v>3002213</v>
      </c>
      <c r="B1448" s="628"/>
      <c r="C1448" s="623"/>
      <c r="D1448" s="623"/>
      <c r="E1448" s="627" t="s">
        <v>2227</v>
      </c>
      <c r="F1448" s="631" t="s">
        <v>2337</v>
      </c>
      <c r="G1448" s="661">
        <v>300</v>
      </c>
      <c r="H1448" s="633">
        <v>2213</v>
      </c>
      <c r="I1448" s="618"/>
      <c r="J1448" s="619" t="s">
        <v>2227</v>
      </c>
      <c r="K1448" s="618"/>
      <c r="L1448" s="619">
        <v>101</v>
      </c>
      <c r="M1448" s="620">
        <v>96</v>
      </c>
      <c r="N1448" s="619"/>
      <c r="O1448" s="619">
        <v>14</v>
      </c>
      <c r="P1448" s="619" t="s">
        <v>760</v>
      </c>
      <c r="Q1448" s="662"/>
      <c r="R1448" s="618"/>
      <c r="S1448" s="621" t="s">
        <v>2332</v>
      </c>
      <c r="T1448" s="619" t="s">
        <v>2229</v>
      </c>
    </row>
    <row r="1449" spans="1:20">
      <c r="A1449" s="622"/>
      <c r="B1449" s="628"/>
      <c r="C1449" s="623"/>
      <c r="D1449" s="623"/>
      <c r="E1449" s="627" t="s">
        <v>2230</v>
      </c>
      <c r="F1449" s="626"/>
      <c r="G1449" s="623"/>
      <c r="H1449" s="627"/>
      <c r="I1449" s="618"/>
      <c r="J1449" s="618"/>
      <c r="K1449" s="618"/>
      <c r="L1449" s="618"/>
      <c r="M1449" s="618"/>
      <c r="N1449" s="618"/>
      <c r="O1449" s="618"/>
      <c r="P1449" s="618"/>
      <c r="Q1449" s="662"/>
      <c r="R1449" s="618"/>
      <c r="S1449" s="621"/>
      <c r="T1449" s="618"/>
    </row>
    <row r="1450" spans="1:20">
      <c r="A1450" s="630">
        <v>4302213</v>
      </c>
      <c r="B1450" s="628"/>
      <c r="C1450" s="623"/>
      <c r="D1450" s="623"/>
      <c r="E1450" s="627" t="s">
        <v>2231</v>
      </c>
      <c r="F1450" s="631" t="s">
        <v>2338</v>
      </c>
      <c r="G1450" s="661">
        <v>430</v>
      </c>
      <c r="H1450" s="633">
        <v>2213</v>
      </c>
      <c r="I1450" s="618"/>
      <c r="J1450" s="619" t="s">
        <v>2231</v>
      </c>
      <c r="K1450" s="618"/>
      <c r="L1450" s="619">
        <v>107</v>
      </c>
      <c r="M1450" s="620">
        <v>102</v>
      </c>
      <c r="N1450" s="619"/>
      <c r="O1450" s="619">
        <v>14</v>
      </c>
      <c r="P1450" s="619" t="s">
        <v>760</v>
      </c>
      <c r="Q1450" s="662"/>
      <c r="R1450" s="618"/>
      <c r="S1450" s="621" t="s">
        <v>2332</v>
      </c>
      <c r="T1450" s="619" t="s">
        <v>1021</v>
      </c>
    </row>
    <row r="1451" spans="1:20">
      <c r="A1451" s="630">
        <v>4422213</v>
      </c>
      <c r="B1451" s="628"/>
      <c r="C1451" s="623"/>
      <c r="D1451" s="623"/>
      <c r="E1451" s="627" t="s">
        <v>2233</v>
      </c>
      <c r="F1451" s="631" t="s">
        <v>2339</v>
      </c>
      <c r="G1451" s="661">
        <v>442</v>
      </c>
      <c r="H1451" s="633">
        <v>2213</v>
      </c>
      <c r="I1451" s="618"/>
      <c r="J1451" s="619" t="s">
        <v>2233</v>
      </c>
      <c r="K1451" s="618"/>
      <c r="L1451" s="619">
        <v>106</v>
      </c>
      <c r="M1451" s="620">
        <v>101</v>
      </c>
      <c r="N1451" s="619"/>
      <c r="O1451" s="619">
        <v>14</v>
      </c>
      <c r="P1451" s="619" t="s">
        <v>760</v>
      </c>
      <c r="Q1451" s="662"/>
      <c r="R1451" s="618"/>
      <c r="S1451" s="621" t="s">
        <v>2332</v>
      </c>
      <c r="T1451" s="619" t="s">
        <v>1023</v>
      </c>
    </row>
    <row r="1452" spans="1:20">
      <c r="A1452" s="630">
        <v>4002213</v>
      </c>
      <c r="B1452" s="628"/>
      <c r="C1452" s="623"/>
      <c r="D1452" s="623"/>
      <c r="E1452" s="627" t="s">
        <v>2235</v>
      </c>
      <c r="F1452" s="631" t="s">
        <v>2340</v>
      </c>
      <c r="G1452" s="661">
        <v>400</v>
      </c>
      <c r="H1452" s="633">
        <v>2213</v>
      </c>
      <c r="I1452" s="618"/>
      <c r="J1452" s="619" t="s">
        <v>2235</v>
      </c>
      <c r="K1452" s="618"/>
      <c r="L1452" s="619">
        <v>108</v>
      </c>
      <c r="M1452" s="620">
        <v>103</v>
      </c>
      <c r="N1452" s="619"/>
      <c r="O1452" s="619">
        <v>14</v>
      </c>
      <c r="P1452" s="619" t="s">
        <v>760</v>
      </c>
      <c r="Q1452" s="662"/>
      <c r="R1452" s="618"/>
      <c r="S1452" s="621" t="s">
        <v>2332</v>
      </c>
      <c r="T1452" s="619" t="s">
        <v>2237</v>
      </c>
    </row>
    <row r="1453" spans="1:20">
      <c r="A1453" s="622"/>
      <c r="B1453" s="628"/>
      <c r="C1453" s="623"/>
      <c r="D1453" s="623"/>
      <c r="E1453" s="627" t="s">
        <v>1394</v>
      </c>
      <c r="F1453" s="626"/>
      <c r="G1453" s="623"/>
      <c r="H1453" s="627"/>
      <c r="I1453" s="618"/>
      <c r="J1453" s="618"/>
      <c r="K1453" s="618"/>
      <c r="L1453" s="618"/>
      <c r="M1453" s="618"/>
      <c r="N1453" s="618"/>
      <c r="O1453" s="618"/>
      <c r="P1453" s="618"/>
      <c r="Q1453" s="662"/>
      <c r="R1453" s="618"/>
      <c r="S1453" s="621"/>
      <c r="T1453" s="618"/>
    </row>
    <row r="1454" spans="1:20">
      <c r="A1454" s="630">
        <v>5822213</v>
      </c>
      <c r="B1454" s="628"/>
      <c r="C1454" s="623"/>
      <c r="D1454" s="623"/>
      <c r="E1454" s="627" t="s">
        <v>2238</v>
      </c>
      <c r="F1454" s="631" t="s">
        <v>2341</v>
      </c>
      <c r="G1454" s="661">
        <v>582</v>
      </c>
      <c r="H1454" s="633">
        <v>2213</v>
      </c>
      <c r="I1454" s="618"/>
      <c r="J1454" s="619" t="s">
        <v>2238</v>
      </c>
      <c r="K1454" s="618"/>
      <c r="L1454" s="619">
        <v>118</v>
      </c>
      <c r="M1454" s="620">
        <v>109</v>
      </c>
      <c r="N1454" s="619"/>
      <c r="O1454" s="619">
        <v>14</v>
      </c>
      <c r="P1454" s="619" t="s">
        <v>760</v>
      </c>
      <c r="Q1454" s="662"/>
      <c r="R1454" s="618"/>
      <c r="S1454" s="621" t="s">
        <v>2332</v>
      </c>
      <c r="T1454" s="619" t="s">
        <v>1037</v>
      </c>
    </row>
    <row r="1455" spans="1:20">
      <c r="A1455" s="630">
        <v>5002213</v>
      </c>
      <c r="B1455" s="628"/>
      <c r="C1455" s="623"/>
      <c r="D1455" s="623"/>
      <c r="E1455" s="627" t="s">
        <v>2240</v>
      </c>
      <c r="F1455" s="631" t="s">
        <v>2342</v>
      </c>
      <c r="G1455" s="661">
        <v>500</v>
      </c>
      <c r="H1455" s="633">
        <v>2213</v>
      </c>
      <c r="I1455" s="618"/>
      <c r="J1455" s="619" t="s">
        <v>2240</v>
      </c>
      <c r="K1455" s="618"/>
      <c r="L1455" s="619">
        <v>119</v>
      </c>
      <c r="M1455" s="620">
        <v>110</v>
      </c>
      <c r="N1455" s="619"/>
      <c r="O1455" s="619">
        <v>14</v>
      </c>
      <c r="P1455" s="619" t="s">
        <v>760</v>
      </c>
      <c r="Q1455" s="662"/>
      <c r="R1455" s="618"/>
      <c r="S1455" s="621" t="s">
        <v>2332</v>
      </c>
      <c r="T1455" s="619" t="s">
        <v>252</v>
      </c>
    </row>
    <row r="1456" spans="1:20">
      <c r="A1456" s="622"/>
      <c r="B1456" s="628"/>
      <c r="C1456" s="623"/>
      <c r="D1456" s="623"/>
      <c r="E1456" s="627" t="s">
        <v>2242</v>
      </c>
      <c r="F1456" s="626"/>
      <c r="G1456" s="623"/>
      <c r="H1456" s="627"/>
      <c r="I1456" s="618"/>
      <c r="J1456" s="618"/>
      <c r="K1456" s="618"/>
      <c r="L1456" s="618"/>
      <c r="M1456" s="618"/>
      <c r="N1456" s="618"/>
      <c r="O1456" s="618"/>
      <c r="P1456" s="618"/>
      <c r="Q1456" s="662"/>
      <c r="R1456" s="618"/>
      <c r="S1456" s="621"/>
      <c r="T1456" s="618"/>
    </row>
    <row r="1457" spans="1:20">
      <c r="A1457" s="630">
        <v>6152213</v>
      </c>
      <c r="B1457" s="628"/>
      <c r="C1457" s="623"/>
      <c r="D1457" s="623"/>
      <c r="E1457" s="627" t="s">
        <v>2243</v>
      </c>
      <c r="F1457" s="631" t="s">
        <v>2343</v>
      </c>
      <c r="G1457" s="661">
        <v>615</v>
      </c>
      <c r="H1457" s="633">
        <v>2213</v>
      </c>
      <c r="I1457" s="618"/>
      <c r="J1457" s="619" t="s">
        <v>2243</v>
      </c>
      <c r="K1457" s="618"/>
      <c r="L1457" s="619">
        <v>126</v>
      </c>
      <c r="M1457" s="620">
        <v>117</v>
      </c>
      <c r="N1457" s="619"/>
      <c r="O1457" s="619">
        <v>14</v>
      </c>
      <c r="P1457" s="619" t="s">
        <v>760</v>
      </c>
      <c r="Q1457" s="662" t="s">
        <v>1043</v>
      </c>
      <c r="R1457" s="618"/>
      <c r="S1457" s="621" t="s">
        <v>2332</v>
      </c>
      <c r="T1457" s="619" t="s">
        <v>1041</v>
      </c>
    </row>
    <row r="1458" spans="1:20">
      <c r="A1458" s="630">
        <v>6102213</v>
      </c>
      <c r="B1458" s="628"/>
      <c r="C1458" s="623"/>
      <c r="D1458" s="623"/>
      <c r="E1458" s="627" t="s">
        <v>2245</v>
      </c>
      <c r="F1458" s="631" t="s">
        <v>2344</v>
      </c>
      <c r="G1458" s="661">
        <v>610</v>
      </c>
      <c r="H1458" s="633">
        <v>2213</v>
      </c>
      <c r="I1458" s="618"/>
      <c r="J1458" s="619" t="s">
        <v>2245</v>
      </c>
      <c r="K1458" s="618"/>
      <c r="L1458" s="619">
        <v>122</v>
      </c>
      <c r="M1458" s="620">
        <v>113</v>
      </c>
      <c r="N1458" s="619"/>
      <c r="O1458" s="619">
        <v>14</v>
      </c>
      <c r="P1458" s="619" t="s">
        <v>760</v>
      </c>
      <c r="Q1458" s="662" t="s">
        <v>1043</v>
      </c>
      <c r="R1458" s="618"/>
      <c r="S1458" s="621" t="s">
        <v>2332</v>
      </c>
      <c r="T1458" s="619" t="s">
        <v>39</v>
      </c>
    </row>
    <row r="1459" spans="1:20">
      <c r="A1459" s="630">
        <v>6002213</v>
      </c>
      <c r="B1459" s="628"/>
      <c r="C1459" s="623"/>
      <c r="D1459" s="623"/>
      <c r="E1459" s="627" t="s">
        <v>2247</v>
      </c>
      <c r="F1459" s="631" t="s">
        <v>2345</v>
      </c>
      <c r="G1459" s="661">
        <v>600</v>
      </c>
      <c r="H1459" s="633">
        <v>2213</v>
      </c>
      <c r="I1459" s="618"/>
      <c r="J1459" s="619" t="s">
        <v>2247</v>
      </c>
      <c r="K1459" s="618"/>
      <c r="L1459" s="619">
        <v>126</v>
      </c>
      <c r="M1459" s="620">
        <v>117</v>
      </c>
      <c r="N1459" s="619"/>
      <c r="O1459" s="619">
        <v>14</v>
      </c>
      <c r="P1459" s="619" t="s">
        <v>760</v>
      </c>
      <c r="Q1459" s="662"/>
      <c r="R1459" s="618"/>
      <c r="S1459" s="621" t="s">
        <v>2332</v>
      </c>
      <c r="T1459" s="619" t="s">
        <v>1048</v>
      </c>
    </row>
    <row r="1460" spans="1:20">
      <c r="A1460" s="622"/>
      <c r="B1460" s="628"/>
      <c r="C1460" s="623"/>
      <c r="D1460" s="623"/>
      <c r="E1460" s="627" t="s">
        <v>2249</v>
      </c>
      <c r="F1460" s="626"/>
      <c r="G1460" s="623"/>
      <c r="H1460" s="627"/>
      <c r="I1460" s="618"/>
      <c r="J1460" s="618"/>
      <c r="K1460" s="618"/>
      <c r="L1460" s="618"/>
      <c r="M1460" s="618"/>
      <c r="N1460" s="618"/>
      <c r="O1460" s="618"/>
      <c r="P1460" s="618"/>
      <c r="Q1460" s="662"/>
      <c r="R1460" s="618"/>
      <c r="S1460" s="621"/>
      <c r="T1460" s="618"/>
    </row>
    <row r="1461" spans="1:20">
      <c r="A1461" s="630">
        <v>7342213</v>
      </c>
      <c r="B1461" s="628"/>
      <c r="C1461" s="623"/>
      <c r="D1461" s="623"/>
      <c r="E1461" s="627" t="s">
        <v>2250</v>
      </c>
      <c r="F1461" s="631" t="s">
        <v>2346</v>
      </c>
      <c r="G1461" s="661">
        <v>734</v>
      </c>
      <c r="H1461" s="633">
        <v>2213</v>
      </c>
      <c r="I1461" s="618"/>
      <c r="J1461" s="619" t="s">
        <v>2250</v>
      </c>
      <c r="K1461" s="618"/>
      <c r="L1461" s="619">
        <v>131</v>
      </c>
      <c r="M1461" s="620">
        <v>122</v>
      </c>
      <c r="N1461" s="619"/>
      <c r="O1461" s="619">
        <v>14</v>
      </c>
      <c r="P1461" s="619" t="s">
        <v>760</v>
      </c>
      <c r="Q1461" s="662"/>
      <c r="R1461" s="618"/>
      <c r="S1461" s="621" t="s">
        <v>2332</v>
      </c>
      <c r="T1461" s="619" t="s">
        <v>1051</v>
      </c>
    </row>
    <row r="1462" spans="1:20">
      <c r="A1462" s="630">
        <v>7352213</v>
      </c>
      <c r="B1462" s="628"/>
      <c r="C1462" s="623"/>
      <c r="D1462" s="623"/>
      <c r="E1462" s="627" t="s">
        <v>2252</v>
      </c>
      <c r="F1462" s="631" t="s">
        <v>2347</v>
      </c>
      <c r="G1462" s="661">
        <v>735</v>
      </c>
      <c r="H1462" s="633">
        <v>2213</v>
      </c>
      <c r="I1462" s="618"/>
      <c r="J1462" s="619" t="s">
        <v>2252</v>
      </c>
      <c r="K1462" s="618"/>
      <c r="L1462" s="619">
        <v>131</v>
      </c>
      <c r="M1462" s="620">
        <v>122</v>
      </c>
      <c r="N1462" s="619"/>
      <c r="O1462" s="619">
        <v>14</v>
      </c>
      <c r="P1462" s="619" t="s">
        <v>760</v>
      </c>
      <c r="Q1462" s="662"/>
      <c r="R1462" s="618"/>
      <c r="S1462" s="621" t="s">
        <v>2332</v>
      </c>
      <c r="T1462" s="619" t="s">
        <v>1053</v>
      </c>
    </row>
    <row r="1463" spans="1:20">
      <c r="A1463" s="630">
        <v>7302213</v>
      </c>
      <c r="B1463" s="628"/>
      <c r="C1463" s="623"/>
      <c r="D1463" s="623"/>
      <c r="E1463" s="627" t="s">
        <v>2254</v>
      </c>
      <c r="F1463" s="631" t="s">
        <v>2348</v>
      </c>
      <c r="G1463" s="661">
        <v>730</v>
      </c>
      <c r="H1463" s="633">
        <v>2213</v>
      </c>
      <c r="I1463" s="618"/>
      <c r="J1463" s="619" t="s">
        <v>2254</v>
      </c>
      <c r="K1463" s="618"/>
      <c r="L1463" s="619">
        <v>131</v>
      </c>
      <c r="M1463" s="620">
        <v>122</v>
      </c>
      <c r="N1463" s="619"/>
      <c r="O1463" s="619">
        <v>14</v>
      </c>
      <c r="P1463" s="619" t="s">
        <v>760</v>
      </c>
      <c r="Q1463" s="662"/>
      <c r="R1463" s="618"/>
      <c r="S1463" s="621" t="s">
        <v>2332</v>
      </c>
      <c r="T1463" s="619" t="s">
        <v>1055</v>
      </c>
    </row>
    <row r="1464" spans="1:20">
      <c r="A1464" s="630">
        <v>7002213</v>
      </c>
      <c r="B1464" s="628"/>
      <c r="C1464" s="623"/>
      <c r="D1464" s="623"/>
      <c r="E1464" s="627" t="s">
        <v>2256</v>
      </c>
      <c r="F1464" s="631" t="s">
        <v>2349</v>
      </c>
      <c r="G1464" s="661">
        <v>700</v>
      </c>
      <c r="H1464" s="633">
        <v>2213</v>
      </c>
      <c r="I1464" s="618"/>
      <c r="J1464" s="619" t="s">
        <v>2256</v>
      </c>
      <c r="K1464" s="618"/>
      <c r="L1464" s="619">
        <v>132</v>
      </c>
      <c r="M1464" s="620">
        <v>123</v>
      </c>
      <c r="N1464" s="619"/>
      <c r="O1464" s="619">
        <v>14</v>
      </c>
      <c r="P1464" s="619" t="s">
        <v>760</v>
      </c>
      <c r="Q1464" s="662"/>
      <c r="R1464" s="618"/>
      <c r="S1464" s="621" t="s">
        <v>2332</v>
      </c>
      <c r="T1464" s="619" t="s">
        <v>1057</v>
      </c>
    </row>
    <row r="1465" spans="1:20">
      <c r="A1465" s="622"/>
      <c r="B1465" s="628"/>
      <c r="C1465" s="623"/>
      <c r="D1465" s="623"/>
      <c r="E1465" s="627" t="s">
        <v>2258</v>
      </c>
      <c r="F1465" s="626"/>
      <c r="G1465" s="623"/>
      <c r="H1465" s="627"/>
      <c r="I1465" s="618"/>
      <c r="J1465" s="618"/>
      <c r="K1465" s="618"/>
      <c r="L1465" s="618"/>
      <c r="M1465" s="618"/>
      <c r="N1465" s="618"/>
      <c r="O1465" s="618"/>
      <c r="P1465" s="618"/>
      <c r="Q1465" s="662"/>
      <c r="R1465" s="618"/>
      <c r="S1465" s="621"/>
      <c r="T1465" s="618"/>
    </row>
    <row r="1466" spans="1:20">
      <c r="A1466" s="630">
        <v>8952213</v>
      </c>
      <c r="B1466" s="628"/>
      <c r="C1466" s="623"/>
      <c r="D1466" s="623"/>
      <c r="E1466" s="627" t="s">
        <v>2259</v>
      </c>
      <c r="F1466" s="631" t="s">
        <v>2350</v>
      </c>
      <c r="G1466" s="661">
        <v>895</v>
      </c>
      <c r="H1466" s="633">
        <v>2213</v>
      </c>
      <c r="I1466" s="618"/>
      <c r="J1466" s="619" t="s">
        <v>2259</v>
      </c>
      <c r="K1466" s="618"/>
      <c r="L1466" s="619">
        <v>139</v>
      </c>
      <c r="M1466" s="620">
        <v>129</v>
      </c>
      <c r="N1466" s="619"/>
      <c r="O1466" s="619">
        <v>14</v>
      </c>
      <c r="P1466" s="619" t="s">
        <v>760</v>
      </c>
      <c r="Q1466" s="662"/>
      <c r="R1466" s="618"/>
      <c r="S1466" s="621" t="s">
        <v>2332</v>
      </c>
      <c r="T1466" s="619" t="s">
        <v>2261</v>
      </c>
    </row>
    <row r="1467" spans="1:20">
      <c r="A1467" s="630">
        <v>8002213</v>
      </c>
      <c r="B1467" s="628"/>
      <c r="C1467" s="623"/>
      <c r="D1467" s="623"/>
      <c r="E1467" s="627" t="s">
        <v>2262</v>
      </c>
      <c r="F1467" s="631" t="s">
        <v>2351</v>
      </c>
      <c r="G1467" s="661">
        <v>800</v>
      </c>
      <c r="H1467" s="633">
        <v>2213</v>
      </c>
      <c r="I1467" s="618"/>
      <c r="J1467" s="619" t="s">
        <v>2262</v>
      </c>
      <c r="K1467" s="618"/>
      <c r="L1467" s="619">
        <v>139</v>
      </c>
      <c r="M1467" s="620">
        <v>129</v>
      </c>
      <c r="N1467" s="619"/>
      <c r="O1467" s="619">
        <v>14</v>
      </c>
      <c r="P1467" s="619" t="s">
        <v>760</v>
      </c>
      <c r="Q1467" s="662"/>
      <c r="R1467" s="618"/>
      <c r="S1467" s="621" t="s">
        <v>2332</v>
      </c>
      <c r="T1467" s="619" t="s">
        <v>1061</v>
      </c>
    </row>
    <row r="1468" spans="1:20">
      <c r="A1468" s="622"/>
      <c r="B1468" s="628"/>
      <c r="C1468" s="623"/>
      <c r="D1468" s="623"/>
      <c r="E1468" s="627" t="s">
        <v>2264</v>
      </c>
      <c r="F1468" s="626"/>
      <c r="G1468" s="623"/>
      <c r="H1468" s="627"/>
      <c r="I1468" s="618"/>
      <c r="J1468" s="618"/>
      <c r="K1468" s="618"/>
      <c r="L1468" s="618"/>
      <c r="M1468" s="618"/>
      <c r="N1468" s="618"/>
      <c r="O1468" s="618"/>
      <c r="P1468" s="618"/>
      <c r="Q1468" s="662"/>
      <c r="R1468" s="618"/>
      <c r="S1468" s="621"/>
      <c r="T1468" s="618"/>
    </row>
    <row r="1469" spans="1:20">
      <c r="A1469" s="630">
        <v>2102213</v>
      </c>
      <c r="B1469" s="628"/>
      <c r="C1469" s="623"/>
      <c r="D1469" s="623"/>
      <c r="E1469" s="627" t="s">
        <v>2265</v>
      </c>
      <c r="F1469" s="631" t="s">
        <v>2352</v>
      </c>
      <c r="G1469" s="661">
        <v>210</v>
      </c>
      <c r="H1469" s="633">
        <v>2213</v>
      </c>
      <c r="I1469" s="618"/>
      <c r="J1469" s="619" t="s">
        <v>2265</v>
      </c>
      <c r="K1469" s="618"/>
      <c r="L1469" s="619">
        <v>89</v>
      </c>
      <c r="M1469" s="620">
        <v>84</v>
      </c>
      <c r="N1469" s="619"/>
      <c r="O1469" s="619">
        <v>14</v>
      </c>
      <c r="P1469" s="619" t="s">
        <v>760</v>
      </c>
      <c r="Q1469" s="662" t="s">
        <v>1002</v>
      </c>
      <c r="R1469" s="618"/>
      <c r="S1469" s="621" t="s">
        <v>2332</v>
      </c>
      <c r="T1469" s="619" t="s">
        <v>1064</v>
      </c>
    </row>
    <row r="1470" spans="1:20">
      <c r="A1470" s="630">
        <v>2202213</v>
      </c>
      <c r="B1470" s="628"/>
      <c r="C1470" s="623"/>
      <c r="D1470" s="623"/>
      <c r="E1470" s="627" t="s">
        <v>2267</v>
      </c>
      <c r="F1470" s="631" t="s">
        <v>2353</v>
      </c>
      <c r="G1470" s="661">
        <v>220</v>
      </c>
      <c r="H1470" s="633">
        <v>2213</v>
      </c>
      <c r="I1470" s="618"/>
      <c r="J1470" s="619" t="s">
        <v>2267</v>
      </c>
      <c r="K1470" s="618"/>
      <c r="L1470" s="619">
        <v>90</v>
      </c>
      <c r="M1470" s="620">
        <v>85</v>
      </c>
      <c r="N1470" s="619"/>
      <c r="O1470" s="619">
        <v>14</v>
      </c>
      <c r="P1470" s="619" t="s">
        <v>760</v>
      </c>
      <c r="Q1470" s="662" t="s">
        <v>1002</v>
      </c>
      <c r="R1470" s="618"/>
      <c r="S1470" s="621" t="s">
        <v>2332</v>
      </c>
      <c r="T1470" s="619" t="s">
        <v>1066</v>
      </c>
    </row>
    <row r="1471" spans="1:20">
      <c r="A1471" s="630">
        <v>2252213</v>
      </c>
      <c r="B1471" s="628"/>
      <c r="C1471" s="623"/>
      <c r="D1471" s="623"/>
      <c r="E1471" s="627" t="s">
        <v>2269</v>
      </c>
      <c r="F1471" s="631" t="s">
        <v>2354</v>
      </c>
      <c r="G1471" s="661">
        <v>225</v>
      </c>
      <c r="H1471" s="633">
        <v>2213</v>
      </c>
      <c r="I1471" s="618"/>
      <c r="J1471" s="619" t="s">
        <v>2269</v>
      </c>
      <c r="K1471" s="618"/>
      <c r="L1471" s="619">
        <v>91</v>
      </c>
      <c r="M1471" s="620">
        <v>86</v>
      </c>
      <c r="N1471" s="619"/>
      <c r="O1471" s="619">
        <v>14</v>
      </c>
      <c r="P1471" s="619" t="s">
        <v>760</v>
      </c>
      <c r="Q1471" s="662" t="s">
        <v>1002</v>
      </c>
      <c r="R1471" s="618"/>
      <c r="S1471" s="621" t="s">
        <v>2332</v>
      </c>
      <c r="T1471" s="619" t="s">
        <v>23</v>
      </c>
    </row>
    <row r="1472" spans="1:20">
      <c r="A1472" s="622"/>
      <c r="B1472" s="628"/>
      <c r="C1472" s="623"/>
      <c r="D1472" s="623"/>
      <c r="E1472" s="627" t="s">
        <v>2271</v>
      </c>
      <c r="F1472" s="626"/>
      <c r="G1472" s="623"/>
      <c r="H1472" s="627"/>
      <c r="I1472" s="618"/>
      <c r="J1472" s="618"/>
      <c r="K1472" s="618"/>
      <c r="L1472" s="618"/>
      <c r="M1472" s="618"/>
      <c r="N1472" s="618"/>
      <c r="O1472" s="618"/>
      <c r="P1472" s="618"/>
      <c r="Q1472" s="662"/>
      <c r="R1472" s="618"/>
      <c r="S1472" s="621"/>
      <c r="T1472" s="618"/>
    </row>
    <row r="1473" spans="1:20">
      <c r="A1473" s="630">
        <v>2312213</v>
      </c>
      <c r="B1473" s="628"/>
      <c r="C1473" s="623"/>
      <c r="D1473" s="623"/>
      <c r="E1473" s="627" t="s">
        <v>2272</v>
      </c>
      <c r="F1473" s="631" t="s">
        <v>2355</v>
      </c>
      <c r="G1473" s="661">
        <v>231</v>
      </c>
      <c r="H1473" s="633">
        <v>2213</v>
      </c>
      <c r="I1473" s="618"/>
      <c r="J1473" s="619" t="s">
        <v>2272</v>
      </c>
      <c r="K1473" s="618"/>
      <c r="L1473" s="619">
        <v>92</v>
      </c>
      <c r="M1473" s="620">
        <v>87</v>
      </c>
      <c r="N1473" s="619"/>
      <c r="O1473" s="619">
        <v>14</v>
      </c>
      <c r="P1473" s="619" t="s">
        <v>760</v>
      </c>
      <c r="Q1473" s="662" t="s">
        <v>1002</v>
      </c>
      <c r="R1473" s="618"/>
      <c r="S1473" s="621" t="s">
        <v>2332</v>
      </c>
      <c r="T1473" s="619" t="s">
        <v>1072</v>
      </c>
    </row>
    <row r="1474" spans="1:20">
      <c r="A1474" s="630">
        <v>2332213</v>
      </c>
      <c r="B1474" s="628"/>
      <c r="C1474" s="623"/>
      <c r="D1474" s="623"/>
      <c r="E1474" s="627" t="s">
        <v>2274</v>
      </c>
      <c r="F1474" s="631" t="s">
        <v>2356</v>
      </c>
      <c r="G1474" s="661">
        <v>233</v>
      </c>
      <c r="H1474" s="633">
        <v>2213</v>
      </c>
      <c r="I1474" s="618"/>
      <c r="J1474" s="619" t="s">
        <v>2274</v>
      </c>
      <c r="K1474" s="618"/>
      <c r="L1474" s="619">
        <v>92</v>
      </c>
      <c r="M1474" s="620">
        <v>87</v>
      </c>
      <c r="N1474" s="619"/>
      <c r="O1474" s="619">
        <v>14</v>
      </c>
      <c r="P1474" s="619" t="s">
        <v>760</v>
      </c>
      <c r="Q1474" s="662" t="s">
        <v>1002</v>
      </c>
      <c r="R1474" s="618"/>
      <c r="S1474" s="621" t="s">
        <v>2332</v>
      </c>
      <c r="T1474" s="619" t="s">
        <v>2276</v>
      </c>
    </row>
    <row r="1475" spans="1:20">
      <c r="A1475" s="630">
        <v>2392213</v>
      </c>
      <c r="B1475" s="628"/>
      <c r="C1475" s="623"/>
      <c r="D1475" s="623"/>
      <c r="E1475" s="627" t="s">
        <v>2277</v>
      </c>
      <c r="F1475" s="631" t="s">
        <v>2357</v>
      </c>
      <c r="G1475" s="661">
        <v>239</v>
      </c>
      <c r="H1475" s="633">
        <v>2213</v>
      </c>
      <c r="I1475" s="618"/>
      <c r="J1475" s="619" t="s">
        <v>2277</v>
      </c>
      <c r="K1475" s="618"/>
      <c r="L1475" s="619">
        <v>92</v>
      </c>
      <c r="M1475" s="620">
        <v>87</v>
      </c>
      <c r="N1475" s="619"/>
      <c r="O1475" s="619">
        <v>14</v>
      </c>
      <c r="P1475" s="619" t="s">
        <v>760</v>
      </c>
      <c r="Q1475" s="662" t="s">
        <v>1002</v>
      </c>
      <c r="R1475" s="618"/>
      <c r="S1475" s="621" t="s">
        <v>2332</v>
      </c>
      <c r="T1475" s="619" t="s">
        <v>1078</v>
      </c>
    </row>
    <row r="1476" spans="1:20">
      <c r="A1476" s="630">
        <v>2502213</v>
      </c>
      <c r="B1476" s="628"/>
      <c r="C1476" s="623"/>
      <c r="D1476" s="623"/>
      <c r="E1476" s="627" t="s">
        <v>2279</v>
      </c>
      <c r="F1476" s="631" t="s">
        <v>2358</v>
      </c>
      <c r="G1476" s="661">
        <v>250</v>
      </c>
      <c r="H1476" s="633">
        <v>2213</v>
      </c>
      <c r="I1476" s="618"/>
      <c r="J1476" s="619" t="s">
        <v>2279</v>
      </c>
      <c r="K1476" s="618"/>
      <c r="L1476" s="619">
        <v>93</v>
      </c>
      <c r="M1476" s="620">
        <v>88</v>
      </c>
      <c r="N1476" s="619"/>
      <c r="O1476" s="619">
        <v>14</v>
      </c>
      <c r="P1476" s="619" t="s">
        <v>760</v>
      </c>
      <c r="Q1476" s="662" t="s">
        <v>1002</v>
      </c>
      <c r="R1476" s="618"/>
      <c r="S1476" s="621" t="s">
        <v>2332</v>
      </c>
      <c r="T1476" s="619" t="s">
        <v>1079</v>
      </c>
    </row>
    <row r="1477" spans="1:20">
      <c r="A1477" s="630">
        <v>2602213</v>
      </c>
      <c r="B1477" s="628"/>
      <c r="C1477" s="623"/>
      <c r="D1477" s="623"/>
      <c r="E1477" s="627" t="s">
        <v>2281</v>
      </c>
      <c r="F1477" s="631" t="s">
        <v>2359</v>
      </c>
      <c r="G1477" s="661">
        <v>260</v>
      </c>
      <c r="H1477" s="633">
        <v>2213</v>
      </c>
      <c r="I1477" s="618"/>
      <c r="J1477" s="619" t="s">
        <v>2281</v>
      </c>
      <c r="K1477" s="618"/>
      <c r="L1477" s="619">
        <v>95</v>
      </c>
      <c r="M1477" s="620">
        <v>90</v>
      </c>
      <c r="N1477" s="619"/>
      <c r="O1477" s="619">
        <v>14</v>
      </c>
      <c r="P1477" s="619" t="s">
        <v>760</v>
      </c>
      <c r="Q1477" s="662" t="s">
        <v>1002</v>
      </c>
      <c r="R1477" s="618"/>
      <c r="S1477" s="621" t="s">
        <v>2332</v>
      </c>
      <c r="T1477" s="619" t="s">
        <v>1081</v>
      </c>
    </row>
    <row r="1478" spans="1:20">
      <c r="A1478" s="630">
        <v>2702213</v>
      </c>
      <c r="B1478" s="628"/>
      <c r="C1478" s="623"/>
      <c r="D1478" s="623"/>
      <c r="E1478" s="627" t="s">
        <v>2283</v>
      </c>
      <c r="F1478" s="631" t="s">
        <v>2360</v>
      </c>
      <c r="G1478" s="661">
        <v>270</v>
      </c>
      <c r="H1478" s="633">
        <v>2213</v>
      </c>
      <c r="I1478" s="618"/>
      <c r="J1478" s="619" t="s">
        <v>2283</v>
      </c>
      <c r="K1478" s="618"/>
      <c r="L1478" s="619">
        <v>94</v>
      </c>
      <c r="M1478" s="620">
        <v>89</v>
      </c>
      <c r="N1478" s="619"/>
      <c r="O1478" s="619">
        <v>14</v>
      </c>
      <c r="P1478" s="619" t="s">
        <v>760</v>
      </c>
      <c r="Q1478" s="662" t="s">
        <v>1002</v>
      </c>
      <c r="R1478" s="618"/>
      <c r="S1478" s="621" t="s">
        <v>2332</v>
      </c>
      <c r="T1478" s="619" t="s">
        <v>1083</v>
      </c>
    </row>
    <row r="1479" spans="1:20">
      <c r="A1479" s="630">
        <v>2812213</v>
      </c>
      <c r="B1479" s="628"/>
      <c r="C1479" s="623"/>
      <c r="D1479" s="623"/>
      <c r="E1479" s="627" t="s">
        <v>2285</v>
      </c>
      <c r="F1479" s="631" t="s">
        <v>2361</v>
      </c>
      <c r="G1479" s="661">
        <v>281</v>
      </c>
      <c r="H1479" s="633">
        <v>2213</v>
      </c>
      <c r="I1479" s="618"/>
      <c r="J1479" s="619" t="s">
        <v>2285</v>
      </c>
      <c r="K1479" s="618"/>
      <c r="L1479" s="619">
        <v>95</v>
      </c>
      <c r="M1479" s="620">
        <v>90</v>
      </c>
      <c r="N1479" s="619"/>
      <c r="O1479" s="619">
        <v>14</v>
      </c>
      <c r="P1479" s="619" t="s">
        <v>760</v>
      </c>
      <c r="Q1479" s="662" t="s">
        <v>1002</v>
      </c>
      <c r="R1479" s="618"/>
      <c r="S1479" s="621" t="s">
        <v>2332</v>
      </c>
      <c r="T1479" s="619" t="s">
        <v>1085</v>
      </c>
    </row>
    <row r="1480" spans="1:20">
      <c r="A1480" s="630">
        <v>2822213</v>
      </c>
      <c r="B1480" s="628"/>
      <c r="C1480" s="623"/>
      <c r="D1480" s="623"/>
      <c r="E1480" s="627" t="s">
        <v>2287</v>
      </c>
      <c r="F1480" s="631" t="s">
        <v>2362</v>
      </c>
      <c r="G1480" s="661">
        <v>282</v>
      </c>
      <c r="H1480" s="633">
        <v>2213</v>
      </c>
      <c r="I1480" s="618"/>
      <c r="J1480" s="619" t="s">
        <v>2287</v>
      </c>
      <c r="K1480" s="618"/>
      <c r="L1480" s="619">
        <v>95</v>
      </c>
      <c r="M1480" s="620">
        <v>90</v>
      </c>
      <c r="N1480" s="619"/>
      <c r="O1480" s="619">
        <v>14</v>
      </c>
      <c r="P1480" s="619" t="s">
        <v>760</v>
      </c>
      <c r="Q1480" s="662" t="s">
        <v>1002</v>
      </c>
      <c r="R1480" s="618"/>
      <c r="S1480" s="621" t="s">
        <v>2332</v>
      </c>
      <c r="T1480" s="619" t="s">
        <v>1087</v>
      </c>
    </row>
    <row r="1481" spans="1:20">
      <c r="A1481" s="630">
        <v>2902213</v>
      </c>
      <c r="B1481" s="670"/>
      <c r="C1481" s="632"/>
      <c r="D1481" s="632"/>
      <c r="E1481" s="637" t="s">
        <v>2289</v>
      </c>
      <c r="F1481" s="631" t="s">
        <v>2363</v>
      </c>
      <c r="G1481" s="661">
        <v>290</v>
      </c>
      <c r="H1481" s="633">
        <v>2213</v>
      </c>
      <c r="I1481" s="618"/>
      <c r="J1481" s="619" t="s">
        <v>2289</v>
      </c>
      <c r="K1481" s="618"/>
      <c r="L1481" s="619">
        <v>95</v>
      </c>
      <c r="M1481" s="620">
        <v>90</v>
      </c>
      <c r="N1481" s="619"/>
      <c r="O1481" s="619">
        <v>14</v>
      </c>
      <c r="P1481" s="619" t="s">
        <v>760</v>
      </c>
      <c r="Q1481" s="662" t="s">
        <v>1002</v>
      </c>
      <c r="R1481" s="618"/>
      <c r="S1481" s="621" t="s">
        <v>2332</v>
      </c>
      <c r="T1481" s="619" t="s">
        <v>1090</v>
      </c>
    </row>
    <row r="1482" spans="1:20">
      <c r="A1482" s="622"/>
      <c r="B1482" s="628"/>
      <c r="C1482" s="623"/>
      <c r="D1482" s="623" t="s">
        <v>803</v>
      </c>
      <c r="E1482" s="627" t="s">
        <v>2364</v>
      </c>
      <c r="F1482" s="626"/>
      <c r="G1482" s="623"/>
      <c r="H1482" s="627"/>
      <c r="I1482" s="618"/>
      <c r="J1482" s="618"/>
      <c r="K1482" s="618"/>
      <c r="L1482" s="618"/>
      <c r="M1482" s="618"/>
      <c r="N1482" s="618"/>
      <c r="O1482" s="618"/>
      <c r="P1482" s="618"/>
      <c r="Q1482" s="662"/>
      <c r="R1482" s="618"/>
      <c r="S1482" s="621"/>
      <c r="T1482" s="618"/>
    </row>
    <row r="1483" spans="1:20">
      <c r="A1483" s="622"/>
      <c r="B1483" s="628"/>
      <c r="C1483" s="623"/>
      <c r="D1483" s="623"/>
      <c r="E1483" s="676" t="s">
        <v>2365</v>
      </c>
      <c r="F1483" s="626"/>
      <c r="G1483" s="623"/>
      <c r="H1483" s="627"/>
      <c r="I1483" s="618"/>
      <c r="J1483" s="618"/>
      <c r="K1483" s="618"/>
      <c r="L1483" s="618"/>
      <c r="M1483" s="618"/>
      <c r="N1483" s="618"/>
      <c r="O1483" s="618"/>
      <c r="P1483" s="618"/>
      <c r="Q1483" s="662"/>
      <c r="R1483" s="618"/>
      <c r="S1483" s="621"/>
      <c r="T1483" s="618"/>
    </row>
    <row r="1484" spans="1:20">
      <c r="A1484" s="622"/>
      <c r="B1484" s="628"/>
      <c r="C1484" s="623"/>
      <c r="D1484" s="623"/>
      <c r="E1484" s="677" t="s">
        <v>2366</v>
      </c>
      <c r="F1484" s="626"/>
      <c r="G1484" s="623"/>
      <c r="H1484" s="627"/>
      <c r="I1484" s="618"/>
      <c r="J1484" s="618"/>
      <c r="K1484" s="618"/>
      <c r="L1484" s="618"/>
      <c r="M1484" s="618"/>
      <c r="N1484" s="618"/>
      <c r="O1484" s="618"/>
      <c r="P1484" s="618"/>
      <c r="Q1484" s="662"/>
      <c r="R1484" s="618"/>
      <c r="S1484" s="621"/>
      <c r="T1484" s="618"/>
    </row>
    <row r="1485" spans="1:20">
      <c r="A1485" s="622"/>
      <c r="B1485" s="628"/>
      <c r="C1485" s="623"/>
      <c r="D1485" s="623"/>
      <c r="E1485" s="627" t="s">
        <v>2367</v>
      </c>
      <c r="F1485" s="626"/>
      <c r="G1485" s="623"/>
      <c r="H1485" s="627"/>
      <c r="I1485" s="618"/>
      <c r="J1485" s="618"/>
      <c r="K1485" s="618"/>
      <c r="L1485" s="618"/>
      <c r="M1485" s="618"/>
      <c r="N1485" s="618"/>
      <c r="O1485" s="618"/>
      <c r="P1485" s="618"/>
      <c r="Q1485" s="662"/>
      <c r="R1485" s="618"/>
      <c r="S1485" s="621"/>
      <c r="T1485" s="618"/>
    </row>
    <row r="1486" spans="1:20">
      <c r="A1486" s="630">
        <v>1112214</v>
      </c>
      <c r="B1486" s="628"/>
      <c r="C1486" s="623"/>
      <c r="D1486" s="623"/>
      <c r="E1486" s="627" t="s">
        <v>2214</v>
      </c>
      <c r="F1486" s="631" t="s">
        <v>2368</v>
      </c>
      <c r="G1486" s="661">
        <v>111</v>
      </c>
      <c r="H1486" s="633">
        <v>2214</v>
      </c>
      <c r="I1486" s="618"/>
      <c r="J1486" s="619" t="s">
        <v>2214</v>
      </c>
      <c r="K1486" s="618"/>
      <c r="L1486" s="619">
        <v>81</v>
      </c>
      <c r="M1486" s="620">
        <v>76</v>
      </c>
      <c r="N1486" s="619"/>
      <c r="O1486" s="619">
        <v>14</v>
      </c>
      <c r="P1486" s="619" t="s">
        <v>760</v>
      </c>
      <c r="Q1486" s="662" t="s">
        <v>1002</v>
      </c>
      <c r="R1486" s="618"/>
      <c r="S1486" s="621" t="s">
        <v>2369</v>
      </c>
      <c r="T1486" s="619" t="s">
        <v>2217</v>
      </c>
    </row>
    <row r="1487" spans="1:20">
      <c r="A1487" s="630">
        <v>1132214</v>
      </c>
      <c r="B1487" s="628"/>
      <c r="C1487" s="623"/>
      <c r="D1487" s="623"/>
      <c r="E1487" s="627" t="s">
        <v>2218</v>
      </c>
      <c r="F1487" s="631" t="s">
        <v>2370</v>
      </c>
      <c r="G1487" s="661">
        <v>113</v>
      </c>
      <c r="H1487" s="633">
        <v>2214</v>
      </c>
      <c r="I1487" s="618"/>
      <c r="J1487" s="619" t="s">
        <v>2218</v>
      </c>
      <c r="K1487" s="618"/>
      <c r="L1487" s="619">
        <v>83</v>
      </c>
      <c r="M1487" s="620">
        <v>78</v>
      </c>
      <c r="N1487" s="619"/>
      <c r="O1487" s="619">
        <v>14</v>
      </c>
      <c r="P1487" s="619" t="s">
        <v>760</v>
      </c>
      <c r="Q1487" s="662" t="s">
        <v>1002</v>
      </c>
      <c r="R1487" s="618"/>
      <c r="S1487" s="621" t="s">
        <v>2369</v>
      </c>
      <c r="T1487" s="619" t="s">
        <v>2220</v>
      </c>
    </row>
    <row r="1488" spans="1:20">
      <c r="A1488" s="630">
        <v>1142214</v>
      </c>
      <c r="B1488" s="628"/>
      <c r="C1488" s="623"/>
      <c r="D1488" s="623"/>
      <c r="E1488" s="627" t="s">
        <v>2221</v>
      </c>
      <c r="F1488" s="631" t="s">
        <v>2371</v>
      </c>
      <c r="G1488" s="661">
        <v>114</v>
      </c>
      <c r="H1488" s="633">
        <v>2214</v>
      </c>
      <c r="I1488" s="618"/>
      <c r="J1488" s="619" t="s">
        <v>2221</v>
      </c>
      <c r="K1488" s="618"/>
      <c r="L1488" s="619">
        <v>84</v>
      </c>
      <c r="M1488" s="620">
        <v>79</v>
      </c>
      <c r="N1488" s="619"/>
      <c r="O1488" s="619">
        <v>14</v>
      </c>
      <c r="P1488" s="619" t="s">
        <v>760</v>
      </c>
      <c r="Q1488" s="662" t="s">
        <v>1002</v>
      </c>
      <c r="R1488" s="618"/>
      <c r="S1488" s="621" t="s">
        <v>2369</v>
      </c>
      <c r="T1488" s="619" t="s">
        <v>1853</v>
      </c>
    </row>
    <row r="1489" spans="1:20">
      <c r="A1489" s="630">
        <v>1002214</v>
      </c>
      <c r="B1489" s="628"/>
      <c r="C1489" s="623"/>
      <c r="D1489" s="623"/>
      <c r="E1489" s="627" t="s">
        <v>2223</v>
      </c>
      <c r="F1489" s="631" t="s">
        <v>2372</v>
      </c>
      <c r="G1489" s="661">
        <v>100</v>
      </c>
      <c r="H1489" s="633">
        <v>2214</v>
      </c>
      <c r="I1489" s="618"/>
      <c r="J1489" s="619" t="s">
        <v>2223</v>
      </c>
      <c r="K1489" s="618"/>
      <c r="L1489" s="619">
        <v>86</v>
      </c>
      <c r="M1489" s="620">
        <v>81</v>
      </c>
      <c r="N1489" s="619"/>
      <c r="O1489" s="619">
        <v>14</v>
      </c>
      <c r="P1489" s="619" t="s">
        <v>760</v>
      </c>
      <c r="Q1489" s="662" t="s">
        <v>1002</v>
      </c>
      <c r="R1489" s="618"/>
      <c r="S1489" s="621" t="s">
        <v>2369</v>
      </c>
      <c r="T1489" s="619" t="s">
        <v>1946</v>
      </c>
    </row>
    <row r="1490" spans="1:20">
      <c r="A1490" s="630">
        <v>1402214</v>
      </c>
      <c r="B1490" s="628"/>
      <c r="C1490" s="623"/>
      <c r="D1490" s="623"/>
      <c r="E1490" s="627" t="s">
        <v>2225</v>
      </c>
      <c r="F1490" s="631" t="s">
        <v>2373</v>
      </c>
      <c r="G1490" s="661">
        <v>140</v>
      </c>
      <c r="H1490" s="633">
        <v>2214</v>
      </c>
      <c r="I1490" s="618"/>
      <c r="J1490" s="619" t="s">
        <v>2225</v>
      </c>
      <c r="K1490" s="618"/>
      <c r="L1490" s="619">
        <v>86</v>
      </c>
      <c r="M1490" s="620">
        <v>81</v>
      </c>
      <c r="N1490" s="619"/>
      <c r="O1490" s="619">
        <v>14</v>
      </c>
      <c r="P1490" s="619" t="s">
        <v>760</v>
      </c>
      <c r="Q1490" s="662" t="s">
        <v>1002</v>
      </c>
      <c r="R1490" s="618"/>
      <c r="S1490" s="621" t="s">
        <v>2369</v>
      </c>
      <c r="T1490" s="619" t="s">
        <v>1017</v>
      </c>
    </row>
    <row r="1491" spans="1:20">
      <c r="A1491" s="630">
        <v>3002214</v>
      </c>
      <c r="B1491" s="628"/>
      <c r="C1491" s="623"/>
      <c r="D1491" s="623"/>
      <c r="E1491" s="627" t="s">
        <v>2227</v>
      </c>
      <c r="F1491" s="631" t="s">
        <v>2374</v>
      </c>
      <c r="G1491" s="661">
        <v>300</v>
      </c>
      <c r="H1491" s="633">
        <v>2214</v>
      </c>
      <c r="I1491" s="618"/>
      <c r="J1491" s="619" t="s">
        <v>2227</v>
      </c>
      <c r="K1491" s="618"/>
      <c r="L1491" s="619">
        <v>101</v>
      </c>
      <c r="M1491" s="620">
        <v>96</v>
      </c>
      <c r="N1491" s="619"/>
      <c r="O1491" s="619">
        <v>14</v>
      </c>
      <c r="P1491" s="619" t="s">
        <v>760</v>
      </c>
      <c r="Q1491" s="662"/>
      <c r="R1491" s="618"/>
      <c r="S1491" s="621" t="s">
        <v>2369</v>
      </c>
      <c r="T1491" s="619" t="s">
        <v>2229</v>
      </c>
    </row>
    <row r="1492" spans="1:20">
      <c r="A1492" s="622"/>
      <c r="B1492" s="628"/>
      <c r="C1492" s="623"/>
      <c r="D1492" s="623"/>
      <c r="E1492" s="627" t="s">
        <v>2230</v>
      </c>
      <c r="F1492" s="626"/>
      <c r="G1492" s="623"/>
      <c r="H1492" s="627"/>
      <c r="I1492" s="618"/>
      <c r="J1492" s="618"/>
      <c r="K1492" s="618"/>
      <c r="L1492" s="618"/>
      <c r="M1492" s="618"/>
      <c r="N1492" s="618"/>
      <c r="O1492" s="618"/>
      <c r="P1492" s="618"/>
      <c r="Q1492" s="662"/>
      <c r="R1492" s="618"/>
      <c r="S1492" s="621"/>
      <c r="T1492" s="618"/>
    </row>
    <row r="1493" spans="1:20">
      <c r="A1493" s="630">
        <v>4302214</v>
      </c>
      <c r="B1493" s="628"/>
      <c r="C1493" s="623"/>
      <c r="D1493" s="623"/>
      <c r="E1493" s="627" t="s">
        <v>2231</v>
      </c>
      <c r="F1493" s="631" t="s">
        <v>2375</v>
      </c>
      <c r="G1493" s="661">
        <v>430</v>
      </c>
      <c r="H1493" s="633">
        <v>2214</v>
      </c>
      <c r="I1493" s="618"/>
      <c r="J1493" s="619" t="s">
        <v>2231</v>
      </c>
      <c r="K1493" s="618"/>
      <c r="L1493" s="619">
        <v>107</v>
      </c>
      <c r="M1493" s="620">
        <v>102</v>
      </c>
      <c r="N1493" s="619"/>
      <c r="O1493" s="619">
        <v>14</v>
      </c>
      <c r="P1493" s="619" t="s">
        <v>760</v>
      </c>
      <c r="Q1493" s="662"/>
      <c r="R1493" s="618"/>
      <c r="S1493" s="621" t="s">
        <v>2369</v>
      </c>
      <c r="T1493" s="619" t="s">
        <v>1021</v>
      </c>
    </row>
    <row r="1494" spans="1:20">
      <c r="A1494" s="630">
        <v>4422214</v>
      </c>
      <c r="B1494" s="628"/>
      <c r="C1494" s="623"/>
      <c r="D1494" s="623"/>
      <c r="E1494" s="627" t="s">
        <v>2233</v>
      </c>
      <c r="F1494" s="631" t="s">
        <v>2376</v>
      </c>
      <c r="G1494" s="661">
        <v>442</v>
      </c>
      <c r="H1494" s="633">
        <v>2214</v>
      </c>
      <c r="I1494" s="618"/>
      <c r="J1494" s="619" t="s">
        <v>2233</v>
      </c>
      <c r="K1494" s="618"/>
      <c r="L1494" s="619">
        <v>106</v>
      </c>
      <c r="M1494" s="620">
        <v>101</v>
      </c>
      <c r="N1494" s="619"/>
      <c r="O1494" s="619">
        <v>14</v>
      </c>
      <c r="P1494" s="619" t="s">
        <v>760</v>
      </c>
      <c r="Q1494" s="662"/>
      <c r="R1494" s="618"/>
      <c r="S1494" s="621" t="s">
        <v>2369</v>
      </c>
      <c r="T1494" s="619" t="s">
        <v>1023</v>
      </c>
    </row>
    <row r="1495" spans="1:20">
      <c r="A1495" s="630">
        <v>4002214</v>
      </c>
      <c r="B1495" s="628"/>
      <c r="C1495" s="623"/>
      <c r="D1495" s="623"/>
      <c r="E1495" s="627" t="s">
        <v>2235</v>
      </c>
      <c r="F1495" s="631" t="s">
        <v>2377</v>
      </c>
      <c r="G1495" s="661">
        <v>400</v>
      </c>
      <c r="H1495" s="633">
        <v>2214</v>
      </c>
      <c r="I1495" s="618"/>
      <c r="J1495" s="619" t="s">
        <v>2235</v>
      </c>
      <c r="K1495" s="618"/>
      <c r="L1495" s="619">
        <v>108</v>
      </c>
      <c r="M1495" s="620">
        <v>103</v>
      </c>
      <c r="N1495" s="619"/>
      <c r="O1495" s="619">
        <v>14</v>
      </c>
      <c r="P1495" s="619" t="s">
        <v>760</v>
      </c>
      <c r="Q1495" s="662"/>
      <c r="R1495" s="618"/>
      <c r="S1495" s="621" t="s">
        <v>2369</v>
      </c>
      <c r="T1495" s="619" t="s">
        <v>2237</v>
      </c>
    </row>
    <row r="1496" spans="1:20">
      <c r="A1496" s="622"/>
      <c r="B1496" s="628"/>
      <c r="C1496" s="623"/>
      <c r="D1496" s="623"/>
      <c r="E1496" s="627" t="s">
        <v>1394</v>
      </c>
      <c r="F1496" s="626"/>
      <c r="G1496" s="623"/>
      <c r="H1496" s="627"/>
      <c r="I1496" s="618"/>
      <c r="J1496" s="618"/>
      <c r="K1496" s="618"/>
      <c r="L1496" s="618"/>
      <c r="M1496" s="618"/>
      <c r="N1496" s="618"/>
      <c r="O1496" s="618"/>
      <c r="P1496" s="618"/>
      <c r="Q1496" s="662"/>
      <c r="R1496" s="618"/>
      <c r="S1496" s="621"/>
      <c r="T1496" s="618"/>
    </row>
    <row r="1497" spans="1:20">
      <c r="A1497" s="630">
        <v>5822214</v>
      </c>
      <c r="B1497" s="628"/>
      <c r="C1497" s="623"/>
      <c r="D1497" s="623"/>
      <c r="E1497" s="627" t="s">
        <v>2238</v>
      </c>
      <c r="F1497" s="631" t="s">
        <v>2378</v>
      </c>
      <c r="G1497" s="661">
        <v>582</v>
      </c>
      <c r="H1497" s="633">
        <v>2214</v>
      </c>
      <c r="I1497" s="618"/>
      <c r="J1497" s="619" t="s">
        <v>2238</v>
      </c>
      <c r="K1497" s="618"/>
      <c r="L1497" s="619">
        <v>118</v>
      </c>
      <c r="M1497" s="620">
        <v>109</v>
      </c>
      <c r="N1497" s="619"/>
      <c r="O1497" s="619">
        <v>14</v>
      </c>
      <c r="P1497" s="619" t="s">
        <v>760</v>
      </c>
      <c r="Q1497" s="662"/>
      <c r="R1497" s="618"/>
      <c r="S1497" s="621" t="s">
        <v>2369</v>
      </c>
      <c r="T1497" s="619" t="s">
        <v>1037</v>
      </c>
    </row>
    <row r="1498" spans="1:20">
      <c r="A1498" s="630">
        <v>5002214</v>
      </c>
      <c r="B1498" s="628"/>
      <c r="C1498" s="623"/>
      <c r="D1498" s="623"/>
      <c r="E1498" s="627" t="s">
        <v>2240</v>
      </c>
      <c r="F1498" s="631" t="s">
        <v>2379</v>
      </c>
      <c r="G1498" s="661">
        <v>500</v>
      </c>
      <c r="H1498" s="633">
        <v>2214</v>
      </c>
      <c r="I1498" s="618"/>
      <c r="J1498" s="619" t="s">
        <v>2240</v>
      </c>
      <c r="K1498" s="618"/>
      <c r="L1498" s="619">
        <v>119</v>
      </c>
      <c r="M1498" s="620">
        <v>110</v>
      </c>
      <c r="N1498" s="619"/>
      <c r="O1498" s="619">
        <v>14</v>
      </c>
      <c r="P1498" s="619" t="s">
        <v>760</v>
      </c>
      <c r="Q1498" s="662"/>
      <c r="R1498" s="618"/>
      <c r="S1498" s="621" t="s">
        <v>2369</v>
      </c>
      <c r="T1498" s="619" t="s">
        <v>252</v>
      </c>
    </row>
    <row r="1499" spans="1:20">
      <c r="A1499" s="622"/>
      <c r="B1499" s="628"/>
      <c r="C1499" s="623"/>
      <c r="D1499" s="623"/>
      <c r="E1499" s="627" t="s">
        <v>2242</v>
      </c>
      <c r="F1499" s="626"/>
      <c r="G1499" s="623"/>
      <c r="H1499" s="627"/>
      <c r="I1499" s="618"/>
      <c r="J1499" s="618"/>
      <c r="K1499" s="618"/>
      <c r="L1499" s="618"/>
      <c r="M1499" s="618"/>
      <c r="N1499" s="618"/>
      <c r="O1499" s="618"/>
      <c r="P1499" s="618"/>
      <c r="Q1499" s="662"/>
      <c r="R1499" s="618"/>
      <c r="S1499" s="621"/>
      <c r="T1499" s="618"/>
    </row>
    <row r="1500" spans="1:20">
      <c r="A1500" s="630">
        <v>6152214</v>
      </c>
      <c r="B1500" s="628"/>
      <c r="C1500" s="623"/>
      <c r="D1500" s="623"/>
      <c r="E1500" s="627" t="s">
        <v>2243</v>
      </c>
      <c r="F1500" s="631" t="s">
        <v>2380</v>
      </c>
      <c r="G1500" s="661">
        <v>615</v>
      </c>
      <c r="H1500" s="633">
        <v>2214</v>
      </c>
      <c r="I1500" s="618"/>
      <c r="J1500" s="619" t="s">
        <v>2243</v>
      </c>
      <c r="K1500" s="618"/>
      <c r="L1500" s="619">
        <v>126</v>
      </c>
      <c r="M1500" s="620">
        <v>117</v>
      </c>
      <c r="N1500" s="619"/>
      <c r="O1500" s="619">
        <v>14</v>
      </c>
      <c r="P1500" s="619" t="s">
        <v>760</v>
      </c>
      <c r="Q1500" s="662" t="s">
        <v>1043</v>
      </c>
      <c r="R1500" s="618"/>
      <c r="S1500" s="621" t="s">
        <v>2369</v>
      </c>
      <c r="T1500" s="619" t="s">
        <v>1041</v>
      </c>
    </row>
    <row r="1501" spans="1:20">
      <c r="A1501" s="630">
        <v>6102214</v>
      </c>
      <c r="B1501" s="628"/>
      <c r="C1501" s="623"/>
      <c r="D1501" s="623"/>
      <c r="E1501" s="627" t="s">
        <v>2245</v>
      </c>
      <c r="F1501" s="631" t="s">
        <v>2381</v>
      </c>
      <c r="G1501" s="661">
        <v>610</v>
      </c>
      <c r="H1501" s="633">
        <v>2214</v>
      </c>
      <c r="I1501" s="618"/>
      <c r="J1501" s="619" t="s">
        <v>2245</v>
      </c>
      <c r="K1501" s="618"/>
      <c r="L1501" s="619">
        <v>122</v>
      </c>
      <c r="M1501" s="620">
        <v>113</v>
      </c>
      <c r="N1501" s="619"/>
      <c r="O1501" s="619">
        <v>14</v>
      </c>
      <c r="P1501" s="619" t="s">
        <v>760</v>
      </c>
      <c r="Q1501" s="662" t="s">
        <v>1043</v>
      </c>
      <c r="R1501" s="618"/>
      <c r="S1501" s="621" t="s">
        <v>2369</v>
      </c>
      <c r="T1501" s="619" t="s">
        <v>39</v>
      </c>
    </row>
    <row r="1502" spans="1:20">
      <c r="A1502" s="630">
        <v>6002214</v>
      </c>
      <c r="B1502" s="628"/>
      <c r="C1502" s="623"/>
      <c r="D1502" s="623"/>
      <c r="E1502" s="627" t="s">
        <v>2247</v>
      </c>
      <c r="F1502" s="631" t="s">
        <v>2382</v>
      </c>
      <c r="G1502" s="661">
        <v>600</v>
      </c>
      <c r="H1502" s="633">
        <v>2214</v>
      </c>
      <c r="I1502" s="618"/>
      <c r="J1502" s="619" t="s">
        <v>2247</v>
      </c>
      <c r="K1502" s="618"/>
      <c r="L1502" s="619">
        <v>126</v>
      </c>
      <c r="M1502" s="620">
        <v>117</v>
      </c>
      <c r="N1502" s="619"/>
      <c r="O1502" s="619">
        <v>14</v>
      </c>
      <c r="P1502" s="619" t="s">
        <v>760</v>
      </c>
      <c r="Q1502" s="662"/>
      <c r="R1502" s="618"/>
      <c r="S1502" s="621" t="s">
        <v>2369</v>
      </c>
      <c r="T1502" s="619" t="s">
        <v>1048</v>
      </c>
    </row>
    <row r="1503" spans="1:20">
      <c r="A1503" s="622"/>
      <c r="B1503" s="628"/>
      <c r="C1503" s="623"/>
      <c r="D1503" s="623"/>
      <c r="E1503" s="627" t="s">
        <v>2249</v>
      </c>
      <c r="F1503" s="626"/>
      <c r="G1503" s="623"/>
      <c r="H1503" s="627"/>
      <c r="I1503" s="618"/>
      <c r="J1503" s="618"/>
      <c r="K1503" s="618"/>
      <c r="L1503" s="618"/>
      <c r="M1503" s="618"/>
      <c r="N1503" s="618"/>
      <c r="O1503" s="618"/>
      <c r="P1503" s="618"/>
      <c r="Q1503" s="662"/>
      <c r="R1503" s="618"/>
      <c r="S1503" s="621"/>
      <c r="T1503" s="618"/>
    </row>
    <row r="1504" spans="1:20">
      <c r="A1504" s="630">
        <v>7342214</v>
      </c>
      <c r="B1504" s="628"/>
      <c r="C1504" s="623"/>
      <c r="D1504" s="623"/>
      <c r="E1504" s="627" t="s">
        <v>2250</v>
      </c>
      <c r="F1504" s="631" t="s">
        <v>2383</v>
      </c>
      <c r="G1504" s="661">
        <v>734</v>
      </c>
      <c r="H1504" s="633">
        <v>2214</v>
      </c>
      <c r="I1504" s="618"/>
      <c r="J1504" s="619" t="s">
        <v>2250</v>
      </c>
      <c r="K1504" s="618"/>
      <c r="L1504" s="619">
        <v>131</v>
      </c>
      <c r="M1504" s="620">
        <v>122</v>
      </c>
      <c r="N1504" s="619"/>
      <c r="O1504" s="619">
        <v>14</v>
      </c>
      <c r="P1504" s="619" t="s">
        <v>760</v>
      </c>
      <c r="Q1504" s="662"/>
      <c r="R1504" s="618"/>
      <c r="S1504" s="621" t="s">
        <v>2369</v>
      </c>
      <c r="T1504" s="619" t="s">
        <v>1051</v>
      </c>
    </row>
    <row r="1505" spans="1:20">
      <c r="A1505" s="630">
        <v>7352214</v>
      </c>
      <c r="B1505" s="628"/>
      <c r="C1505" s="623"/>
      <c r="D1505" s="623"/>
      <c r="E1505" s="627" t="s">
        <v>2252</v>
      </c>
      <c r="F1505" s="631" t="s">
        <v>2384</v>
      </c>
      <c r="G1505" s="661">
        <v>735</v>
      </c>
      <c r="H1505" s="633">
        <v>2214</v>
      </c>
      <c r="I1505" s="618"/>
      <c r="J1505" s="619" t="s">
        <v>2252</v>
      </c>
      <c r="K1505" s="618"/>
      <c r="L1505" s="619">
        <v>131</v>
      </c>
      <c r="M1505" s="620">
        <v>122</v>
      </c>
      <c r="N1505" s="619"/>
      <c r="O1505" s="619">
        <v>14</v>
      </c>
      <c r="P1505" s="619" t="s">
        <v>760</v>
      </c>
      <c r="Q1505" s="662"/>
      <c r="R1505" s="618"/>
      <c r="S1505" s="621" t="s">
        <v>2369</v>
      </c>
      <c r="T1505" s="619" t="s">
        <v>1053</v>
      </c>
    </row>
    <row r="1506" spans="1:20">
      <c r="A1506" s="630">
        <v>7302214</v>
      </c>
      <c r="B1506" s="628"/>
      <c r="C1506" s="623"/>
      <c r="D1506" s="623"/>
      <c r="E1506" s="627" t="s">
        <v>2254</v>
      </c>
      <c r="F1506" s="631" t="s">
        <v>2385</v>
      </c>
      <c r="G1506" s="661">
        <v>730</v>
      </c>
      <c r="H1506" s="633">
        <v>2214</v>
      </c>
      <c r="I1506" s="618"/>
      <c r="J1506" s="619" t="s">
        <v>2254</v>
      </c>
      <c r="K1506" s="618"/>
      <c r="L1506" s="619">
        <v>131</v>
      </c>
      <c r="M1506" s="620">
        <v>122</v>
      </c>
      <c r="N1506" s="619"/>
      <c r="O1506" s="619">
        <v>14</v>
      </c>
      <c r="P1506" s="619" t="s">
        <v>760</v>
      </c>
      <c r="Q1506" s="662"/>
      <c r="R1506" s="618"/>
      <c r="S1506" s="621" t="s">
        <v>2369</v>
      </c>
      <c r="T1506" s="619" t="s">
        <v>1055</v>
      </c>
    </row>
    <row r="1507" spans="1:20">
      <c r="A1507" s="630">
        <v>7002214</v>
      </c>
      <c r="B1507" s="628"/>
      <c r="C1507" s="623"/>
      <c r="D1507" s="623"/>
      <c r="E1507" s="627" t="s">
        <v>2256</v>
      </c>
      <c r="F1507" s="631" t="s">
        <v>2386</v>
      </c>
      <c r="G1507" s="661">
        <v>700</v>
      </c>
      <c r="H1507" s="633">
        <v>2214</v>
      </c>
      <c r="I1507" s="618"/>
      <c r="J1507" s="619" t="s">
        <v>2256</v>
      </c>
      <c r="K1507" s="618"/>
      <c r="L1507" s="619">
        <v>132</v>
      </c>
      <c r="M1507" s="620">
        <v>123</v>
      </c>
      <c r="N1507" s="619"/>
      <c r="O1507" s="619">
        <v>14</v>
      </c>
      <c r="P1507" s="619" t="s">
        <v>760</v>
      </c>
      <c r="Q1507" s="662"/>
      <c r="R1507" s="618"/>
      <c r="S1507" s="621" t="s">
        <v>2369</v>
      </c>
      <c r="T1507" s="619" t="s">
        <v>1057</v>
      </c>
    </row>
    <row r="1508" spans="1:20">
      <c r="A1508" s="622"/>
      <c r="B1508" s="628"/>
      <c r="C1508" s="623"/>
      <c r="D1508" s="623"/>
      <c r="E1508" s="627" t="s">
        <v>2258</v>
      </c>
      <c r="F1508" s="626"/>
      <c r="G1508" s="623"/>
      <c r="H1508" s="627"/>
      <c r="I1508" s="618"/>
      <c r="J1508" s="618"/>
      <c r="K1508" s="618"/>
      <c r="L1508" s="618"/>
      <c r="M1508" s="618"/>
      <c r="N1508" s="618"/>
      <c r="O1508" s="618"/>
      <c r="P1508" s="618"/>
      <c r="Q1508" s="662"/>
      <c r="R1508" s="618"/>
      <c r="S1508" s="621"/>
      <c r="T1508" s="618"/>
    </row>
    <row r="1509" spans="1:20">
      <c r="A1509" s="630">
        <v>8952214</v>
      </c>
      <c r="B1509" s="628"/>
      <c r="C1509" s="623"/>
      <c r="D1509" s="623"/>
      <c r="E1509" s="627" t="s">
        <v>2259</v>
      </c>
      <c r="F1509" s="631" t="s">
        <v>2387</v>
      </c>
      <c r="G1509" s="661">
        <v>895</v>
      </c>
      <c r="H1509" s="633">
        <v>2214</v>
      </c>
      <c r="I1509" s="618"/>
      <c r="J1509" s="619" t="s">
        <v>2259</v>
      </c>
      <c r="K1509" s="618"/>
      <c r="L1509" s="619">
        <v>139</v>
      </c>
      <c r="M1509" s="620">
        <v>129</v>
      </c>
      <c r="N1509" s="619"/>
      <c r="O1509" s="619">
        <v>14</v>
      </c>
      <c r="P1509" s="619" t="s">
        <v>760</v>
      </c>
      <c r="Q1509" s="662"/>
      <c r="R1509" s="618"/>
      <c r="S1509" s="621" t="s">
        <v>2369</v>
      </c>
      <c r="T1509" s="619" t="s">
        <v>2261</v>
      </c>
    </row>
    <row r="1510" spans="1:20">
      <c r="A1510" s="630">
        <v>8002214</v>
      </c>
      <c r="B1510" s="628"/>
      <c r="C1510" s="623"/>
      <c r="D1510" s="623"/>
      <c r="E1510" s="627" t="s">
        <v>2262</v>
      </c>
      <c r="F1510" s="631" t="s">
        <v>2388</v>
      </c>
      <c r="G1510" s="661">
        <v>800</v>
      </c>
      <c r="H1510" s="633">
        <v>2214</v>
      </c>
      <c r="I1510" s="618"/>
      <c r="J1510" s="619" t="s">
        <v>2262</v>
      </c>
      <c r="K1510" s="618"/>
      <c r="L1510" s="619">
        <v>139</v>
      </c>
      <c r="M1510" s="620">
        <v>129</v>
      </c>
      <c r="N1510" s="619"/>
      <c r="O1510" s="619">
        <v>14</v>
      </c>
      <c r="P1510" s="619" t="s">
        <v>760</v>
      </c>
      <c r="Q1510" s="662"/>
      <c r="R1510" s="618"/>
      <c r="S1510" s="621" t="s">
        <v>2369</v>
      </c>
      <c r="T1510" s="619" t="s">
        <v>1061</v>
      </c>
    </row>
    <row r="1511" spans="1:20">
      <c r="A1511" s="622"/>
      <c r="B1511" s="628"/>
      <c r="C1511" s="623"/>
      <c r="D1511" s="623"/>
      <c r="E1511" s="627" t="s">
        <v>2264</v>
      </c>
      <c r="F1511" s="626"/>
      <c r="G1511" s="623"/>
      <c r="H1511" s="627"/>
      <c r="I1511" s="618"/>
      <c r="J1511" s="618"/>
      <c r="K1511" s="618"/>
      <c r="L1511" s="618"/>
      <c r="M1511" s="618"/>
      <c r="N1511" s="618"/>
      <c r="O1511" s="618"/>
      <c r="P1511" s="618"/>
      <c r="Q1511" s="662"/>
      <c r="R1511" s="618"/>
      <c r="S1511" s="621"/>
      <c r="T1511" s="618"/>
    </row>
    <row r="1512" spans="1:20">
      <c r="A1512" s="630">
        <v>2102214</v>
      </c>
      <c r="B1512" s="628"/>
      <c r="C1512" s="623"/>
      <c r="D1512" s="623"/>
      <c r="E1512" s="627" t="s">
        <v>2265</v>
      </c>
      <c r="F1512" s="631" t="s">
        <v>2389</v>
      </c>
      <c r="G1512" s="661">
        <v>210</v>
      </c>
      <c r="H1512" s="633">
        <v>2214</v>
      </c>
      <c r="I1512" s="618"/>
      <c r="J1512" s="619" t="s">
        <v>2265</v>
      </c>
      <c r="K1512" s="618"/>
      <c r="L1512" s="619">
        <v>89</v>
      </c>
      <c r="M1512" s="620">
        <v>84</v>
      </c>
      <c r="N1512" s="619"/>
      <c r="O1512" s="619">
        <v>14</v>
      </c>
      <c r="P1512" s="619" t="s">
        <v>760</v>
      </c>
      <c r="Q1512" s="662" t="s">
        <v>1002</v>
      </c>
      <c r="R1512" s="618"/>
      <c r="S1512" s="621" t="s">
        <v>2369</v>
      </c>
      <c r="T1512" s="619" t="s">
        <v>1064</v>
      </c>
    </row>
    <row r="1513" spans="1:20">
      <c r="A1513" s="630">
        <v>2202214</v>
      </c>
      <c r="B1513" s="628"/>
      <c r="C1513" s="623"/>
      <c r="D1513" s="623"/>
      <c r="E1513" s="627" t="s">
        <v>2267</v>
      </c>
      <c r="F1513" s="631" t="s">
        <v>2390</v>
      </c>
      <c r="G1513" s="661">
        <v>220</v>
      </c>
      <c r="H1513" s="633">
        <v>2214</v>
      </c>
      <c r="I1513" s="618"/>
      <c r="J1513" s="619" t="s">
        <v>2267</v>
      </c>
      <c r="K1513" s="618"/>
      <c r="L1513" s="619">
        <v>90</v>
      </c>
      <c r="M1513" s="620">
        <v>85</v>
      </c>
      <c r="N1513" s="619"/>
      <c r="O1513" s="619">
        <v>14</v>
      </c>
      <c r="P1513" s="619" t="s">
        <v>760</v>
      </c>
      <c r="Q1513" s="662" t="s">
        <v>1002</v>
      </c>
      <c r="R1513" s="618"/>
      <c r="S1513" s="621" t="s">
        <v>2369</v>
      </c>
      <c r="T1513" s="619" t="s">
        <v>1066</v>
      </c>
    </row>
    <row r="1514" spans="1:20">
      <c r="A1514" s="630">
        <v>2252214</v>
      </c>
      <c r="B1514" s="628"/>
      <c r="C1514" s="623"/>
      <c r="D1514" s="623"/>
      <c r="E1514" s="627" t="s">
        <v>2269</v>
      </c>
      <c r="F1514" s="631" t="s">
        <v>2391</v>
      </c>
      <c r="G1514" s="661">
        <v>225</v>
      </c>
      <c r="H1514" s="633">
        <v>2214</v>
      </c>
      <c r="I1514" s="618"/>
      <c r="J1514" s="619" t="s">
        <v>2269</v>
      </c>
      <c r="K1514" s="618"/>
      <c r="L1514" s="619">
        <v>91</v>
      </c>
      <c r="M1514" s="620">
        <v>86</v>
      </c>
      <c r="N1514" s="619"/>
      <c r="O1514" s="619">
        <v>14</v>
      </c>
      <c r="P1514" s="619" t="s">
        <v>760</v>
      </c>
      <c r="Q1514" s="662" t="s">
        <v>1002</v>
      </c>
      <c r="R1514" s="618"/>
      <c r="S1514" s="621" t="s">
        <v>2369</v>
      </c>
      <c r="T1514" s="619" t="s">
        <v>23</v>
      </c>
    </row>
    <row r="1515" spans="1:20">
      <c r="A1515" s="622"/>
      <c r="B1515" s="628"/>
      <c r="C1515" s="623"/>
      <c r="D1515" s="623"/>
      <c r="E1515" s="627" t="s">
        <v>2271</v>
      </c>
      <c r="F1515" s="626"/>
      <c r="G1515" s="623"/>
      <c r="H1515" s="627"/>
      <c r="I1515" s="618"/>
      <c r="J1515" s="618"/>
      <c r="K1515" s="618"/>
      <c r="L1515" s="618"/>
      <c r="M1515" s="618"/>
      <c r="N1515" s="618"/>
      <c r="O1515" s="618"/>
      <c r="P1515" s="618"/>
      <c r="Q1515" s="662"/>
      <c r="R1515" s="618"/>
      <c r="S1515" s="621"/>
      <c r="T1515" s="618"/>
    </row>
    <row r="1516" spans="1:20">
      <c r="A1516" s="630">
        <v>2312214</v>
      </c>
      <c r="B1516" s="628"/>
      <c r="C1516" s="623"/>
      <c r="D1516" s="623"/>
      <c r="E1516" s="627" t="s">
        <v>2272</v>
      </c>
      <c r="F1516" s="631" t="s">
        <v>2392</v>
      </c>
      <c r="G1516" s="661">
        <v>231</v>
      </c>
      <c r="H1516" s="633">
        <v>2214</v>
      </c>
      <c r="I1516" s="618"/>
      <c r="J1516" s="619" t="s">
        <v>2272</v>
      </c>
      <c r="K1516" s="618"/>
      <c r="L1516" s="619">
        <v>92</v>
      </c>
      <c r="M1516" s="620">
        <v>87</v>
      </c>
      <c r="N1516" s="619"/>
      <c r="O1516" s="619">
        <v>14</v>
      </c>
      <c r="P1516" s="619" t="s">
        <v>760</v>
      </c>
      <c r="Q1516" s="662" t="s">
        <v>1002</v>
      </c>
      <c r="R1516" s="618"/>
      <c r="S1516" s="621" t="s">
        <v>2369</v>
      </c>
      <c r="T1516" s="619" t="s">
        <v>1072</v>
      </c>
    </row>
    <row r="1517" spans="1:20">
      <c r="A1517" s="630">
        <v>2332214</v>
      </c>
      <c r="B1517" s="628"/>
      <c r="C1517" s="623"/>
      <c r="D1517" s="623"/>
      <c r="E1517" s="627" t="s">
        <v>2274</v>
      </c>
      <c r="F1517" s="631" t="s">
        <v>2393</v>
      </c>
      <c r="G1517" s="661">
        <v>233</v>
      </c>
      <c r="H1517" s="633">
        <v>2214</v>
      </c>
      <c r="I1517" s="618"/>
      <c r="J1517" s="619" t="s">
        <v>2274</v>
      </c>
      <c r="K1517" s="618"/>
      <c r="L1517" s="619">
        <v>92</v>
      </c>
      <c r="M1517" s="620">
        <v>87</v>
      </c>
      <c r="N1517" s="619"/>
      <c r="O1517" s="619">
        <v>14</v>
      </c>
      <c r="P1517" s="619" t="s">
        <v>760</v>
      </c>
      <c r="Q1517" s="662" t="s">
        <v>1002</v>
      </c>
      <c r="R1517" s="618"/>
      <c r="S1517" s="621" t="s">
        <v>2369</v>
      </c>
      <c r="T1517" s="619" t="s">
        <v>2276</v>
      </c>
    </row>
    <row r="1518" spans="1:20">
      <c r="A1518" s="630">
        <v>2392214</v>
      </c>
      <c r="B1518" s="628"/>
      <c r="C1518" s="623"/>
      <c r="D1518" s="623"/>
      <c r="E1518" s="627" t="s">
        <v>2277</v>
      </c>
      <c r="F1518" s="631" t="s">
        <v>2394</v>
      </c>
      <c r="G1518" s="661">
        <v>239</v>
      </c>
      <c r="H1518" s="633">
        <v>2214</v>
      </c>
      <c r="I1518" s="618"/>
      <c r="J1518" s="619" t="s">
        <v>2277</v>
      </c>
      <c r="K1518" s="618"/>
      <c r="L1518" s="619">
        <v>92</v>
      </c>
      <c r="M1518" s="620">
        <v>87</v>
      </c>
      <c r="N1518" s="619"/>
      <c r="O1518" s="619">
        <v>14</v>
      </c>
      <c r="P1518" s="619" t="s">
        <v>760</v>
      </c>
      <c r="Q1518" s="662" t="s">
        <v>1002</v>
      </c>
      <c r="R1518" s="618"/>
      <c r="S1518" s="621" t="s">
        <v>2369</v>
      </c>
      <c r="T1518" s="619" t="s">
        <v>1078</v>
      </c>
    </row>
    <row r="1519" spans="1:20">
      <c r="A1519" s="630">
        <v>2502214</v>
      </c>
      <c r="B1519" s="628"/>
      <c r="C1519" s="623"/>
      <c r="D1519" s="623"/>
      <c r="E1519" s="627" t="s">
        <v>2279</v>
      </c>
      <c r="F1519" s="631" t="s">
        <v>2395</v>
      </c>
      <c r="G1519" s="661">
        <v>250</v>
      </c>
      <c r="H1519" s="633">
        <v>2214</v>
      </c>
      <c r="I1519" s="618"/>
      <c r="J1519" s="619" t="s">
        <v>2279</v>
      </c>
      <c r="K1519" s="618"/>
      <c r="L1519" s="619">
        <v>93</v>
      </c>
      <c r="M1519" s="620">
        <v>88</v>
      </c>
      <c r="N1519" s="619"/>
      <c r="O1519" s="619">
        <v>14</v>
      </c>
      <c r="P1519" s="619" t="s">
        <v>760</v>
      </c>
      <c r="Q1519" s="662" t="s">
        <v>1002</v>
      </c>
      <c r="R1519" s="618"/>
      <c r="S1519" s="621" t="s">
        <v>2369</v>
      </c>
      <c r="T1519" s="619" t="s">
        <v>1079</v>
      </c>
    </row>
    <row r="1520" spans="1:20">
      <c r="A1520" s="630">
        <v>2602214</v>
      </c>
      <c r="B1520" s="628"/>
      <c r="C1520" s="623"/>
      <c r="D1520" s="623"/>
      <c r="E1520" s="627" t="s">
        <v>2281</v>
      </c>
      <c r="F1520" s="631" t="s">
        <v>2396</v>
      </c>
      <c r="G1520" s="661">
        <v>260</v>
      </c>
      <c r="H1520" s="633">
        <v>2214</v>
      </c>
      <c r="I1520" s="618"/>
      <c r="J1520" s="619" t="s">
        <v>2281</v>
      </c>
      <c r="K1520" s="618"/>
      <c r="L1520" s="619">
        <v>95</v>
      </c>
      <c r="M1520" s="620">
        <v>90</v>
      </c>
      <c r="N1520" s="619"/>
      <c r="O1520" s="619">
        <v>14</v>
      </c>
      <c r="P1520" s="619" t="s">
        <v>760</v>
      </c>
      <c r="Q1520" s="662" t="s">
        <v>1002</v>
      </c>
      <c r="R1520" s="618"/>
      <c r="S1520" s="621" t="s">
        <v>2369</v>
      </c>
      <c r="T1520" s="619" t="s">
        <v>1081</v>
      </c>
    </row>
    <row r="1521" spans="1:20">
      <c r="A1521" s="630">
        <v>2702214</v>
      </c>
      <c r="B1521" s="628"/>
      <c r="C1521" s="623"/>
      <c r="D1521" s="623"/>
      <c r="E1521" s="627" t="s">
        <v>2283</v>
      </c>
      <c r="F1521" s="631" t="s">
        <v>2397</v>
      </c>
      <c r="G1521" s="661">
        <v>270</v>
      </c>
      <c r="H1521" s="633">
        <v>2214</v>
      </c>
      <c r="I1521" s="618"/>
      <c r="J1521" s="619" t="s">
        <v>2283</v>
      </c>
      <c r="K1521" s="618"/>
      <c r="L1521" s="619">
        <v>94</v>
      </c>
      <c r="M1521" s="620">
        <v>89</v>
      </c>
      <c r="N1521" s="619"/>
      <c r="O1521" s="619">
        <v>14</v>
      </c>
      <c r="P1521" s="619" t="s">
        <v>760</v>
      </c>
      <c r="Q1521" s="662" t="s">
        <v>1002</v>
      </c>
      <c r="R1521" s="618"/>
      <c r="S1521" s="621" t="s">
        <v>2369</v>
      </c>
      <c r="T1521" s="619" t="s">
        <v>1083</v>
      </c>
    </row>
    <row r="1522" spans="1:20">
      <c r="A1522" s="630">
        <v>2812214</v>
      </c>
      <c r="B1522" s="628"/>
      <c r="C1522" s="623"/>
      <c r="D1522" s="623"/>
      <c r="E1522" s="627" t="s">
        <v>2285</v>
      </c>
      <c r="F1522" s="631" t="s">
        <v>2398</v>
      </c>
      <c r="G1522" s="661">
        <v>281</v>
      </c>
      <c r="H1522" s="633">
        <v>2214</v>
      </c>
      <c r="I1522" s="618"/>
      <c r="J1522" s="619" t="s">
        <v>2285</v>
      </c>
      <c r="K1522" s="618"/>
      <c r="L1522" s="619">
        <v>95</v>
      </c>
      <c r="M1522" s="620">
        <v>90</v>
      </c>
      <c r="N1522" s="619"/>
      <c r="O1522" s="619">
        <v>14</v>
      </c>
      <c r="P1522" s="619" t="s">
        <v>760</v>
      </c>
      <c r="Q1522" s="662" t="s">
        <v>1002</v>
      </c>
      <c r="R1522" s="618"/>
      <c r="S1522" s="621" t="s">
        <v>2369</v>
      </c>
      <c r="T1522" s="619" t="s">
        <v>1085</v>
      </c>
    </row>
    <row r="1523" spans="1:20">
      <c r="A1523" s="630">
        <v>2822214</v>
      </c>
      <c r="B1523" s="628"/>
      <c r="C1523" s="623"/>
      <c r="D1523" s="623"/>
      <c r="E1523" s="627" t="s">
        <v>2287</v>
      </c>
      <c r="F1523" s="631" t="s">
        <v>2399</v>
      </c>
      <c r="G1523" s="661">
        <v>282</v>
      </c>
      <c r="H1523" s="633">
        <v>2214</v>
      </c>
      <c r="I1523" s="618"/>
      <c r="J1523" s="619" t="s">
        <v>2287</v>
      </c>
      <c r="K1523" s="618"/>
      <c r="L1523" s="619">
        <v>95</v>
      </c>
      <c r="M1523" s="620">
        <v>90</v>
      </c>
      <c r="N1523" s="619"/>
      <c r="O1523" s="619">
        <v>14</v>
      </c>
      <c r="P1523" s="619" t="s">
        <v>760</v>
      </c>
      <c r="Q1523" s="662" t="s">
        <v>1002</v>
      </c>
      <c r="R1523" s="618"/>
      <c r="S1523" s="621" t="s">
        <v>2369</v>
      </c>
      <c r="T1523" s="619" t="s">
        <v>1087</v>
      </c>
    </row>
    <row r="1524" spans="1:20">
      <c r="A1524" s="630">
        <v>2902214</v>
      </c>
      <c r="B1524" s="628"/>
      <c r="C1524" s="623"/>
      <c r="D1524" s="623"/>
      <c r="E1524" s="627" t="s">
        <v>2289</v>
      </c>
      <c r="F1524" s="631" t="s">
        <v>2400</v>
      </c>
      <c r="G1524" s="661">
        <v>290</v>
      </c>
      <c r="H1524" s="633">
        <v>2214</v>
      </c>
      <c r="I1524" s="618"/>
      <c r="J1524" s="619" t="s">
        <v>2289</v>
      </c>
      <c r="K1524" s="618"/>
      <c r="L1524" s="619">
        <v>95</v>
      </c>
      <c r="M1524" s="620">
        <v>90</v>
      </c>
      <c r="N1524" s="619"/>
      <c r="O1524" s="619">
        <v>14</v>
      </c>
      <c r="P1524" s="619" t="s">
        <v>760</v>
      </c>
      <c r="Q1524" s="662" t="s">
        <v>1002</v>
      </c>
      <c r="R1524" s="618"/>
      <c r="S1524" s="621" t="s">
        <v>2369</v>
      </c>
      <c r="T1524" s="619" t="s">
        <v>1090</v>
      </c>
    </row>
    <row r="1525" spans="1:20">
      <c r="A1525" s="622"/>
      <c r="B1525" s="628"/>
      <c r="C1525" s="623"/>
      <c r="D1525" s="623" t="s">
        <v>848</v>
      </c>
      <c r="E1525" s="626" t="s">
        <v>2401</v>
      </c>
      <c r="F1525" s="626"/>
      <c r="G1525" s="623"/>
      <c r="H1525" s="627"/>
      <c r="I1525" s="618"/>
      <c r="J1525" s="618"/>
      <c r="K1525" s="618"/>
      <c r="L1525" s="618"/>
      <c r="M1525" s="618"/>
      <c r="N1525" s="618"/>
      <c r="O1525" s="618"/>
      <c r="P1525" s="618"/>
      <c r="Q1525" s="662"/>
      <c r="R1525" s="618"/>
      <c r="S1525" s="621"/>
      <c r="T1525" s="618"/>
    </row>
    <row r="1526" spans="1:20">
      <c r="A1526" s="622"/>
      <c r="B1526" s="628"/>
      <c r="C1526" s="623"/>
      <c r="D1526" s="623"/>
      <c r="E1526" s="627" t="s">
        <v>2402</v>
      </c>
      <c r="F1526" s="626"/>
      <c r="G1526" s="623"/>
      <c r="H1526" s="627"/>
      <c r="I1526" s="618"/>
      <c r="J1526" s="618"/>
      <c r="K1526" s="618"/>
      <c r="L1526" s="618"/>
      <c r="M1526" s="618"/>
      <c r="N1526" s="618"/>
      <c r="O1526" s="618"/>
      <c r="P1526" s="618"/>
      <c r="Q1526" s="662"/>
      <c r="R1526" s="618"/>
      <c r="S1526" s="621"/>
      <c r="T1526" s="618"/>
    </row>
    <row r="1527" spans="1:20">
      <c r="A1527" s="630">
        <v>1112215</v>
      </c>
      <c r="B1527" s="628"/>
      <c r="C1527" s="623"/>
      <c r="D1527" s="623"/>
      <c r="E1527" s="627" t="s">
        <v>2214</v>
      </c>
      <c r="F1527" s="631" t="s">
        <v>2403</v>
      </c>
      <c r="G1527" s="661">
        <v>111</v>
      </c>
      <c r="H1527" s="633">
        <v>2215</v>
      </c>
      <c r="I1527" s="618"/>
      <c r="J1527" s="619" t="s">
        <v>2214</v>
      </c>
      <c r="K1527" s="618"/>
      <c r="L1527" s="619">
        <v>81</v>
      </c>
      <c r="M1527" s="620">
        <v>76</v>
      </c>
      <c r="N1527" s="619"/>
      <c r="O1527" s="619">
        <v>14</v>
      </c>
      <c r="P1527" s="619" t="s">
        <v>760</v>
      </c>
      <c r="Q1527" s="662" t="s">
        <v>1002</v>
      </c>
      <c r="R1527" s="618"/>
      <c r="S1527" s="621" t="s">
        <v>2404</v>
      </c>
      <c r="T1527" s="619" t="s">
        <v>2217</v>
      </c>
    </row>
    <row r="1528" spans="1:20">
      <c r="A1528" s="630">
        <v>1132215</v>
      </c>
      <c r="B1528" s="628"/>
      <c r="C1528" s="623"/>
      <c r="D1528" s="623"/>
      <c r="E1528" s="627" t="s">
        <v>2218</v>
      </c>
      <c r="F1528" s="631" t="s">
        <v>2405</v>
      </c>
      <c r="G1528" s="661">
        <v>113</v>
      </c>
      <c r="H1528" s="633">
        <v>2215</v>
      </c>
      <c r="I1528" s="618"/>
      <c r="J1528" s="619" t="s">
        <v>2218</v>
      </c>
      <c r="K1528" s="618"/>
      <c r="L1528" s="619">
        <v>83</v>
      </c>
      <c r="M1528" s="620">
        <v>78</v>
      </c>
      <c r="N1528" s="619"/>
      <c r="O1528" s="619">
        <v>14</v>
      </c>
      <c r="P1528" s="619" t="s">
        <v>760</v>
      </c>
      <c r="Q1528" s="662" t="s">
        <v>1002</v>
      </c>
      <c r="R1528" s="618"/>
      <c r="S1528" s="621" t="s">
        <v>2404</v>
      </c>
      <c r="T1528" s="619" t="s">
        <v>2220</v>
      </c>
    </row>
    <row r="1529" spans="1:20">
      <c r="A1529" s="630">
        <v>1142215</v>
      </c>
      <c r="B1529" s="628"/>
      <c r="C1529" s="623"/>
      <c r="D1529" s="623"/>
      <c r="E1529" s="627" t="s">
        <v>2221</v>
      </c>
      <c r="F1529" s="631" t="s">
        <v>2406</v>
      </c>
      <c r="G1529" s="661">
        <v>114</v>
      </c>
      <c r="H1529" s="633">
        <v>2215</v>
      </c>
      <c r="I1529" s="618"/>
      <c r="J1529" s="619" t="s">
        <v>2221</v>
      </c>
      <c r="K1529" s="618"/>
      <c r="L1529" s="619">
        <v>84</v>
      </c>
      <c r="M1529" s="620">
        <v>79</v>
      </c>
      <c r="N1529" s="619"/>
      <c r="O1529" s="619">
        <v>14</v>
      </c>
      <c r="P1529" s="619" t="s">
        <v>760</v>
      </c>
      <c r="Q1529" s="662" t="s">
        <v>1002</v>
      </c>
      <c r="R1529" s="618"/>
      <c r="S1529" s="621" t="s">
        <v>2404</v>
      </c>
      <c r="T1529" s="619" t="s">
        <v>1853</v>
      </c>
    </row>
    <row r="1530" spans="1:20">
      <c r="A1530" s="630">
        <v>1002215</v>
      </c>
      <c r="B1530" s="628"/>
      <c r="C1530" s="623"/>
      <c r="D1530" s="623"/>
      <c r="E1530" s="627" t="s">
        <v>2223</v>
      </c>
      <c r="F1530" s="631" t="s">
        <v>2407</v>
      </c>
      <c r="G1530" s="661">
        <v>100</v>
      </c>
      <c r="H1530" s="633">
        <v>2215</v>
      </c>
      <c r="I1530" s="618"/>
      <c r="J1530" s="619" t="s">
        <v>2223</v>
      </c>
      <c r="K1530" s="618"/>
      <c r="L1530" s="619">
        <v>86</v>
      </c>
      <c r="M1530" s="620">
        <v>81</v>
      </c>
      <c r="N1530" s="619"/>
      <c r="O1530" s="619">
        <v>14</v>
      </c>
      <c r="P1530" s="619" t="s">
        <v>760</v>
      </c>
      <c r="Q1530" s="662" t="s">
        <v>1002</v>
      </c>
      <c r="R1530" s="618"/>
      <c r="S1530" s="621" t="s">
        <v>2404</v>
      </c>
      <c r="T1530" s="619" t="s">
        <v>1946</v>
      </c>
    </row>
    <row r="1531" spans="1:20">
      <c r="A1531" s="630">
        <v>1402215</v>
      </c>
      <c r="B1531" s="628"/>
      <c r="C1531" s="623"/>
      <c r="D1531" s="623"/>
      <c r="E1531" s="627" t="s">
        <v>2225</v>
      </c>
      <c r="F1531" s="631" t="s">
        <v>2408</v>
      </c>
      <c r="G1531" s="661">
        <v>140</v>
      </c>
      <c r="H1531" s="633">
        <v>2215</v>
      </c>
      <c r="I1531" s="618"/>
      <c r="J1531" s="619" t="s">
        <v>2225</v>
      </c>
      <c r="K1531" s="618"/>
      <c r="L1531" s="619">
        <v>86</v>
      </c>
      <c r="M1531" s="620">
        <v>81</v>
      </c>
      <c r="N1531" s="619"/>
      <c r="O1531" s="619">
        <v>14</v>
      </c>
      <c r="P1531" s="619" t="s">
        <v>760</v>
      </c>
      <c r="Q1531" s="662" t="s">
        <v>1002</v>
      </c>
      <c r="R1531" s="618"/>
      <c r="S1531" s="621" t="s">
        <v>2404</v>
      </c>
      <c r="T1531" s="619" t="s">
        <v>1017</v>
      </c>
    </row>
    <row r="1532" spans="1:20">
      <c r="A1532" s="630">
        <v>3002215</v>
      </c>
      <c r="B1532" s="670"/>
      <c r="C1532" s="632"/>
      <c r="D1532" s="632"/>
      <c r="E1532" s="637" t="s">
        <v>2227</v>
      </c>
      <c r="F1532" s="631" t="s">
        <v>2409</v>
      </c>
      <c r="G1532" s="661">
        <v>300</v>
      </c>
      <c r="H1532" s="633">
        <v>2215</v>
      </c>
      <c r="I1532" s="618"/>
      <c r="J1532" s="619" t="s">
        <v>2227</v>
      </c>
      <c r="K1532" s="618"/>
      <c r="L1532" s="619">
        <v>101</v>
      </c>
      <c r="M1532" s="620">
        <v>96</v>
      </c>
      <c r="N1532" s="619"/>
      <c r="O1532" s="619">
        <v>14</v>
      </c>
      <c r="P1532" s="619" t="s">
        <v>760</v>
      </c>
      <c r="Q1532" s="662"/>
      <c r="R1532" s="618"/>
      <c r="S1532" s="621" t="s">
        <v>2404</v>
      </c>
      <c r="T1532" s="619" t="s">
        <v>2229</v>
      </c>
    </row>
    <row r="1533" spans="1:20">
      <c r="A1533" s="622"/>
      <c r="B1533" s="628"/>
      <c r="C1533" s="623"/>
      <c r="D1533" s="623"/>
      <c r="E1533" s="627" t="s">
        <v>2230</v>
      </c>
      <c r="F1533" s="626"/>
      <c r="G1533" s="623"/>
      <c r="H1533" s="627"/>
      <c r="I1533" s="618"/>
      <c r="J1533" s="618"/>
      <c r="K1533" s="618"/>
      <c r="L1533" s="618"/>
      <c r="M1533" s="618"/>
      <c r="N1533" s="618"/>
      <c r="O1533" s="618"/>
      <c r="P1533" s="618"/>
      <c r="Q1533" s="662"/>
      <c r="R1533" s="618"/>
      <c r="S1533" s="621"/>
      <c r="T1533" s="618"/>
    </row>
    <row r="1534" spans="1:20">
      <c r="A1534" s="630">
        <v>4302215</v>
      </c>
      <c r="B1534" s="628"/>
      <c r="C1534" s="623"/>
      <c r="D1534" s="623"/>
      <c r="E1534" s="627" t="s">
        <v>2231</v>
      </c>
      <c r="F1534" s="631" t="s">
        <v>2410</v>
      </c>
      <c r="G1534" s="661">
        <v>430</v>
      </c>
      <c r="H1534" s="633">
        <v>2215</v>
      </c>
      <c r="I1534" s="618"/>
      <c r="J1534" s="619" t="s">
        <v>2231</v>
      </c>
      <c r="K1534" s="618"/>
      <c r="L1534" s="619">
        <v>107</v>
      </c>
      <c r="M1534" s="620">
        <v>102</v>
      </c>
      <c r="N1534" s="619"/>
      <c r="O1534" s="619">
        <v>14</v>
      </c>
      <c r="P1534" s="619" t="s">
        <v>760</v>
      </c>
      <c r="Q1534" s="662"/>
      <c r="R1534" s="618"/>
      <c r="S1534" s="621" t="s">
        <v>2404</v>
      </c>
      <c r="T1534" s="619" t="s">
        <v>1021</v>
      </c>
    </row>
    <row r="1535" spans="1:20">
      <c r="A1535" s="630">
        <v>4422215</v>
      </c>
      <c r="B1535" s="628"/>
      <c r="C1535" s="623"/>
      <c r="D1535" s="623"/>
      <c r="E1535" s="627" t="s">
        <v>2233</v>
      </c>
      <c r="F1535" s="631" t="s">
        <v>2411</v>
      </c>
      <c r="G1535" s="661">
        <v>442</v>
      </c>
      <c r="H1535" s="633">
        <v>2215</v>
      </c>
      <c r="I1535" s="618"/>
      <c r="J1535" s="619" t="s">
        <v>2233</v>
      </c>
      <c r="K1535" s="618"/>
      <c r="L1535" s="619">
        <v>106</v>
      </c>
      <c r="M1535" s="620">
        <v>101</v>
      </c>
      <c r="N1535" s="619"/>
      <c r="O1535" s="619">
        <v>14</v>
      </c>
      <c r="P1535" s="619" t="s">
        <v>760</v>
      </c>
      <c r="Q1535" s="662"/>
      <c r="R1535" s="618"/>
      <c r="S1535" s="621" t="s">
        <v>2404</v>
      </c>
      <c r="T1535" s="619" t="s">
        <v>1023</v>
      </c>
    </row>
    <row r="1536" spans="1:20">
      <c r="A1536" s="630">
        <v>4002215</v>
      </c>
      <c r="B1536" s="628"/>
      <c r="C1536" s="623"/>
      <c r="D1536" s="623"/>
      <c r="E1536" s="627" t="s">
        <v>2235</v>
      </c>
      <c r="F1536" s="631" t="s">
        <v>2412</v>
      </c>
      <c r="G1536" s="661">
        <v>400</v>
      </c>
      <c r="H1536" s="633">
        <v>2215</v>
      </c>
      <c r="I1536" s="618"/>
      <c r="J1536" s="619" t="s">
        <v>2235</v>
      </c>
      <c r="K1536" s="618"/>
      <c r="L1536" s="619">
        <v>108</v>
      </c>
      <c r="M1536" s="620">
        <v>103</v>
      </c>
      <c r="N1536" s="619"/>
      <c r="O1536" s="619">
        <v>14</v>
      </c>
      <c r="P1536" s="619" t="s">
        <v>760</v>
      </c>
      <c r="Q1536" s="662"/>
      <c r="R1536" s="618"/>
      <c r="S1536" s="621" t="s">
        <v>2404</v>
      </c>
      <c r="T1536" s="619" t="s">
        <v>2237</v>
      </c>
    </row>
    <row r="1537" spans="1:20">
      <c r="A1537" s="622"/>
      <c r="B1537" s="628"/>
      <c r="C1537" s="623"/>
      <c r="D1537" s="623"/>
      <c r="E1537" s="627" t="s">
        <v>1394</v>
      </c>
      <c r="F1537" s="626"/>
      <c r="G1537" s="623"/>
      <c r="H1537" s="627"/>
      <c r="I1537" s="618"/>
      <c r="J1537" s="618"/>
      <c r="K1537" s="618"/>
      <c r="L1537" s="618"/>
      <c r="M1537" s="618"/>
      <c r="N1537" s="618"/>
      <c r="O1537" s="618"/>
      <c r="P1537" s="618"/>
      <c r="Q1537" s="662"/>
      <c r="R1537" s="618"/>
      <c r="S1537" s="621"/>
      <c r="T1537" s="618"/>
    </row>
    <row r="1538" spans="1:20">
      <c r="A1538" s="630">
        <v>5822215</v>
      </c>
      <c r="B1538" s="628"/>
      <c r="C1538" s="623"/>
      <c r="D1538" s="623"/>
      <c r="E1538" s="627" t="s">
        <v>2238</v>
      </c>
      <c r="F1538" s="631" t="s">
        <v>2413</v>
      </c>
      <c r="G1538" s="661">
        <v>582</v>
      </c>
      <c r="H1538" s="633">
        <v>2215</v>
      </c>
      <c r="I1538" s="618"/>
      <c r="J1538" s="619" t="s">
        <v>2238</v>
      </c>
      <c r="K1538" s="618"/>
      <c r="L1538" s="619">
        <v>118</v>
      </c>
      <c r="M1538" s="620">
        <v>109</v>
      </c>
      <c r="N1538" s="619"/>
      <c r="O1538" s="619">
        <v>14</v>
      </c>
      <c r="P1538" s="619" t="s">
        <v>760</v>
      </c>
      <c r="Q1538" s="662"/>
      <c r="R1538" s="618"/>
      <c r="S1538" s="621" t="s">
        <v>2404</v>
      </c>
      <c r="T1538" s="619" t="s">
        <v>1037</v>
      </c>
    </row>
    <row r="1539" spans="1:20">
      <c r="A1539" s="630">
        <v>5002215</v>
      </c>
      <c r="B1539" s="628"/>
      <c r="C1539" s="623"/>
      <c r="D1539" s="623"/>
      <c r="E1539" s="627" t="s">
        <v>2240</v>
      </c>
      <c r="F1539" s="631" t="s">
        <v>2414</v>
      </c>
      <c r="G1539" s="661">
        <v>500</v>
      </c>
      <c r="H1539" s="633">
        <v>2215</v>
      </c>
      <c r="I1539" s="618"/>
      <c r="J1539" s="619" t="s">
        <v>2240</v>
      </c>
      <c r="K1539" s="618"/>
      <c r="L1539" s="619">
        <v>119</v>
      </c>
      <c r="M1539" s="620">
        <v>110</v>
      </c>
      <c r="N1539" s="619"/>
      <c r="O1539" s="619">
        <v>14</v>
      </c>
      <c r="P1539" s="619" t="s">
        <v>760</v>
      </c>
      <c r="Q1539" s="662"/>
      <c r="R1539" s="618"/>
      <c r="S1539" s="621" t="s">
        <v>2404</v>
      </c>
      <c r="T1539" s="619" t="s">
        <v>252</v>
      </c>
    </row>
    <row r="1540" spans="1:20">
      <c r="A1540" s="622"/>
      <c r="B1540" s="628"/>
      <c r="C1540" s="623"/>
      <c r="D1540" s="623"/>
      <c r="E1540" s="627" t="s">
        <v>2242</v>
      </c>
      <c r="F1540" s="626"/>
      <c r="G1540" s="623"/>
      <c r="H1540" s="627"/>
      <c r="I1540" s="618"/>
      <c r="J1540" s="618"/>
      <c r="K1540" s="618"/>
      <c r="L1540" s="618"/>
      <c r="M1540" s="618"/>
      <c r="N1540" s="618"/>
      <c r="O1540" s="618"/>
      <c r="P1540" s="618"/>
      <c r="Q1540" s="662"/>
      <c r="R1540" s="618"/>
      <c r="S1540" s="621"/>
      <c r="T1540" s="618"/>
    </row>
    <row r="1541" spans="1:20">
      <c r="A1541" s="630">
        <v>6152215</v>
      </c>
      <c r="B1541" s="628"/>
      <c r="C1541" s="623"/>
      <c r="D1541" s="623"/>
      <c r="E1541" s="627" t="s">
        <v>2243</v>
      </c>
      <c r="F1541" s="631" t="s">
        <v>2415</v>
      </c>
      <c r="G1541" s="661">
        <v>615</v>
      </c>
      <c r="H1541" s="633">
        <v>2215</v>
      </c>
      <c r="I1541" s="618"/>
      <c r="J1541" s="619" t="s">
        <v>2243</v>
      </c>
      <c r="K1541" s="618"/>
      <c r="L1541" s="619">
        <v>126</v>
      </c>
      <c r="M1541" s="620">
        <v>117</v>
      </c>
      <c r="N1541" s="619"/>
      <c r="O1541" s="619">
        <v>14</v>
      </c>
      <c r="P1541" s="619" t="s">
        <v>760</v>
      </c>
      <c r="Q1541" s="662" t="s">
        <v>1043</v>
      </c>
      <c r="R1541" s="618"/>
      <c r="S1541" s="621" t="s">
        <v>2404</v>
      </c>
      <c r="T1541" s="619" t="s">
        <v>1041</v>
      </c>
    </row>
    <row r="1542" spans="1:20">
      <c r="A1542" s="630">
        <v>6102215</v>
      </c>
      <c r="B1542" s="628"/>
      <c r="C1542" s="623"/>
      <c r="D1542" s="623"/>
      <c r="E1542" s="627" t="s">
        <v>2245</v>
      </c>
      <c r="F1542" s="631" t="s">
        <v>2416</v>
      </c>
      <c r="G1542" s="661">
        <v>610</v>
      </c>
      <c r="H1542" s="633">
        <v>2215</v>
      </c>
      <c r="I1542" s="618"/>
      <c r="J1542" s="619" t="s">
        <v>2245</v>
      </c>
      <c r="K1542" s="618"/>
      <c r="L1542" s="619">
        <v>122</v>
      </c>
      <c r="M1542" s="620">
        <v>113</v>
      </c>
      <c r="N1542" s="619"/>
      <c r="O1542" s="619">
        <v>14</v>
      </c>
      <c r="P1542" s="619" t="s">
        <v>760</v>
      </c>
      <c r="Q1542" s="662" t="s">
        <v>1043</v>
      </c>
      <c r="R1542" s="618"/>
      <c r="S1542" s="621" t="s">
        <v>2404</v>
      </c>
      <c r="T1542" s="619" t="s">
        <v>39</v>
      </c>
    </row>
    <row r="1543" spans="1:20">
      <c r="A1543" s="630">
        <v>6002215</v>
      </c>
      <c r="B1543" s="628"/>
      <c r="C1543" s="623"/>
      <c r="D1543" s="623"/>
      <c r="E1543" s="627" t="s">
        <v>2247</v>
      </c>
      <c r="F1543" s="631" t="s">
        <v>2417</v>
      </c>
      <c r="G1543" s="661">
        <v>600</v>
      </c>
      <c r="H1543" s="633">
        <v>2215</v>
      </c>
      <c r="I1543" s="618"/>
      <c r="J1543" s="619" t="s">
        <v>2247</v>
      </c>
      <c r="K1543" s="618"/>
      <c r="L1543" s="619">
        <v>126</v>
      </c>
      <c r="M1543" s="620">
        <v>117</v>
      </c>
      <c r="N1543" s="619"/>
      <c r="O1543" s="619">
        <v>14</v>
      </c>
      <c r="P1543" s="619" t="s">
        <v>760</v>
      </c>
      <c r="Q1543" s="662"/>
      <c r="R1543" s="618"/>
      <c r="S1543" s="621" t="s">
        <v>2404</v>
      </c>
      <c r="T1543" s="619" t="s">
        <v>1048</v>
      </c>
    </row>
    <row r="1544" spans="1:20">
      <c r="A1544" s="622"/>
      <c r="B1544" s="628"/>
      <c r="C1544" s="623"/>
      <c r="D1544" s="623"/>
      <c r="E1544" s="627" t="s">
        <v>2249</v>
      </c>
      <c r="F1544" s="626"/>
      <c r="G1544" s="623"/>
      <c r="H1544" s="627"/>
      <c r="I1544" s="618"/>
      <c r="J1544" s="618"/>
      <c r="K1544" s="618"/>
      <c r="L1544" s="618"/>
      <c r="M1544" s="618"/>
      <c r="N1544" s="618"/>
      <c r="O1544" s="618"/>
      <c r="P1544" s="618"/>
      <c r="Q1544" s="662"/>
      <c r="R1544" s="618"/>
      <c r="S1544" s="621"/>
      <c r="T1544" s="618"/>
    </row>
    <row r="1545" spans="1:20">
      <c r="A1545" s="630">
        <v>7342215</v>
      </c>
      <c r="B1545" s="628"/>
      <c r="C1545" s="623"/>
      <c r="D1545" s="623"/>
      <c r="E1545" s="627" t="s">
        <v>2250</v>
      </c>
      <c r="F1545" s="631" t="s">
        <v>2418</v>
      </c>
      <c r="G1545" s="661">
        <v>734</v>
      </c>
      <c r="H1545" s="633">
        <v>2215</v>
      </c>
      <c r="I1545" s="618"/>
      <c r="J1545" s="619" t="s">
        <v>2250</v>
      </c>
      <c r="K1545" s="618"/>
      <c r="L1545" s="619">
        <v>131</v>
      </c>
      <c r="M1545" s="620">
        <v>122</v>
      </c>
      <c r="N1545" s="619"/>
      <c r="O1545" s="619">
        <v>14</v>
      </c>
      <c r="P1545" s="619" t="s">
        <v>760</v>
      </c>
      <c r="Q1545" s="662"/>
      <c r="R1545" s="618"/>
      <c r="S1545" s="621" t="s">
        <v>2404</v>
      </c>
      <c r="T1545" s="619" t="s">
        <v>1051</v>
      </c>
    </row>
    <row r="1546" spans="1:20">
      <c r="A1546" s="630">
        <v>7352215</v>
      </c>
      <c r="B1546" s="628"/>
      <c r="C1546" s="623"/>
      <c r="D1546" s="623"/>
      <c r="E1546" s="627" t="s">
        <v>2252</v>
      </c>
      <c r="F1546" s="631" t="s">
        <v>2419</v>
      </c>
      <c r="G1546" s="661">
        <v>735</v>
      </c>
      <c r="H1546" s="633">
        <v>2215</v>
      </c>
      <c r="I1546" s="618"/>
      <c r="J1546" s="619" t="s">
        <v>2252</v>
      </c>
      <c r="K1546" s="618"/>
      <c r="L1546" s="619">
        <v>131</v>
      </c>
      <c r="M1546" s="620">
        <v>122</v>
      </c>
      <c r="N1546" s="619"/>
      <c r="O1546" s="619">
        <v>14</v>
      </c>
      <c r="P1546" s="619" t="s">
        <v>760</v>
      </c>
      <c r="Q1546" s="662"/>
      <c r="R1546" s="618"/>
      <c r="S1546" s="621" t="s">
        <v>2404</v>
      </c>
      <c r="T1546" s="619" t="s">
        <v>1053</v>
      </c>
    </row>
    <row r="1547" spans="1:20">
      <c r="A1547" s="630">
        <v>7302215</v>
      </c>
      <c r="B1547" s="628"/>
      <c r="C1547" s="623"/>
      <c r="D1547" s="623"/>
      <c r="E1547" s="627" t="s">
        <v>2254</v>
      </c>
      <c r="F1547" s="631" t="s">
        <v>2420</v>
      </c>
      <c r="G1547" s="661">
        <v>730</v>
      </c>
      <c r="H1547" s="633">
        <v>2215</v>
      </c>
      <c r="I1547" s="618"/>
      <c r="J1547" s="619" t="s">
        <v>2254</v>
      </c>
      <c r="K1547" s="618"/>
      <c r="L1547" s="619">
        <v>131</v>
      </c>
      <c r="M1547" s="620">
        <v>122</v>
      </c>
      <c r="N1547" s="619"/>
      <c r="O1547" s="619">
        <v>14</v>
      </c>
      <c r="P1547" s="619" t="s">
        <v>760</v>
      </c>
      <c r="Q1547" s="662"/>
      <c r="R1547" s="618"/>
      <c r="S1547" s="621" t="s">
        <v>2404</v>
      </c>
      <c r="T1547" s="619" t="s">
        <v>1055</v>
      </c>
    </row>
    <row r="1548" spans="1:20">
      <c r="A1548" s="630">
        <v>7002215</v>
      </c>
      <c r="B1548" s="628"/>
      <c r="C1548" s="623"/>
      <c r="D1548" s="623"/>
      <c r="E1548" s="627" t="s">
        <v>2256</v>
      </c>
      <c r="F1548" s="631" t="s">
        <v>2421</v>
      </c>
      <c r="G1548" s="661">
        <v>700</v>
      </c>
      <c r="H1548" s="633">
        <v>2215</v>
      </c>
      <c r="I1548" s="618"/>
      <c r="J1548" s="619" t="s">
        <v>2256</v>
      </c>
      <c r="K1548" s="618"/>
      <c r="L1548" s="619">
        <v>132</v>
      </c>
      <c r="M1548" s="620">
        <v>123</v>
      </c>
      <c r="N1548" s="619"/>
      <c r="O1548" s="619">
        <v>14</v>
      </c>
      <c r="P1548" s="619" t="s">
        <v>760</v>
      </c>
      <c r="Q1548" s="662"/>
      <c r="R1548" s="618"/>
      <c r="S1548" s="621" t="s">
        <v>2404</v>
      </c>
      <c r="T1548" s="619" t="s">
        <v>1057</v>
      </c>
    </row>
    <row r="1549" spans="1:20">
      <c r="A1549" s="622"/>
      <c r="B1549" s="628"/>
      <c r="C1549" s="623"/>
      <c r="D1549" s="623"/>
      <c r="E1549" s="627" t="s">
        <v>2258</v>
      </c>
      <c r="F1549" s="626"/>
      <c r="G1549" s="623"/>
      <c r="H1549" s="627"/>
      <c r="I1549" s="618"/>
      <c r="J1549" s="618"/>
      <c r="K1549" s="618"/>
      <c r="L1549" s="618"/>
      <c r="M1549" s="618"/>
      <c r="N1549" s="618"/>
      <c r="O1549" s="618"/>
      <c r="P1549" s="618"/>
      <c r="Q1549" s="662"/>
      <c r="R1549" s="618"/>
      <c r="S1549" s="621"/>
      <c r="T1549" s="618"/>
    </row>
    <row r="1550" spans="1:20">
      <c r="A1550" s="630">
        <v>8952215</v>
      </c>
      <c r="B1550" s="628"/>
      <c r="C1550" s="623"/>
      <c r="D1550" s="623"/>
      <c r="E1550" s="627" t="s">
        <v>2259</v>
      </c>
      <c r="F1550" s="631" t="s">
        <v>2422</v>
      </c>
      <c r="G1550" s="661">
        <v>895</v>
      </c>
      <c r="H1550" s="633">
        <v>2215</v>
      </c>
      <c r="I1550" s="618"/>
      <c r="J1550" s="619" t="s">
        <v>2259</v>
      </c>
      <c r="K1550" s="618"/>
      <c r="L1550" s="619">
        <v>139</v>
      </c>
      <c r="M1550" s="620">
        <v>129</v>
      </c>
      <c r="N1550" s="619"/>
      <c r="O1550" s="619">
        <v>14</v>
      </c>
      <c r="P1550" s="619" t="s">
        <v>760</v>
      </c>
      <c r="Q1550" s="662"/>
      <c r="R1550" s="618"/>
      <c r="S1550" s="621" t="s">
        <v>2404</v>
      </c>
      <c r="T1550" s="619" t="s">
        <v>2261</v>
      </c>
    </row>
    <row r="1551" spans="1:20">
      <c r="A1551" s="630">
        <v>8002215</v>
      </c>
      <c r="B1551" s="628"/>
      <c r="C1551" s="623"/>
      <c r="D1551" s="623"/>
      <c r="E1551" s="627" t="s">
        <v>2262</v>
      </c>
      <c r="F1551" s="631" t="s">
        <v>2423</v>
      </c>
      <c r="G1551" s="661">
        <v>800</v>
      </c>
      <c r="H1551" s="633">
        <v>2215</v>
      </c>
      <c r="I1551" s="618"/>
      <c r="J1551" s="619" t="s">
        <v>2262</v>
      </c>
      <c r="K1551" s="618"/>
      <c r="L1551" s="619">
        <v>139</v>
      </c>
      <c r="M1551" s="620">
        <v>129</v>
      </c>
      <c r="N1551" s="619"/>
      <c r="O1551" s="619">
        <v>14</v>
      </c>
      <c r="P1551" s="619" t="s">
        <v>760</v>
      </c>
      <c r="Q1551" s="662"/>
      <c r="R1551" s="618"/>
      <c r="S1551" s="621" t="s">
        <v>2404</v>
      </c>
      <c r="T1551" s="619" t="s">
        <v>1061</v>
      </c>
    </row>
    <row r="1552" spans="1:20">
      <c r="A1552" s="622"/>
      <c r="B1552" s="628"/>
      <c r="C1552" s="623"/>
      <c r="D1552" s="623"/>
      <c r="E1552" s="627" t="s">
        <v>2264</v>
      </c>
      <c r="F1552" s="626"/>
      <c r="G1552" s="623"/>
      <c r="H1552" s="627"/>
      <c r="I1552" s="618"/>
      <c r="J1552" s="618"/>
      <c r="K1552" s="618"/>
      <c r="L1552" s="618"/>
      <c r="M1552" s="618"/>
      <c r="N1552" s="618"/>
      <c r="O1552" s="618"/>
      <c r="P1552" s="618"/>
      <c r="Q1552" s="662"/>
      <c r="R1552" s="618"/>
      <c r="S1552" s="621"/>
      <c r="T1552" s="618"/>
    </row>
    <row r="1553" spans="1:20">
      <c r="A1553" s="630">
        <v>2102215</v>
      </c>
      <c r="B1553" s="628"/>
      <c r="C1553" s="623"/>
      <c r="D1553" s="623"/>
      <c r="E1553" s="627" t="s">
        <v>2265</v>
      </c>
      <c r="F1553" s="631" t="s">
        <v>2424</v>
      </c>
      <c r="G1553" s="661">
        <v>210</v>
      </c>
      <c r="H1553" s="633">
        <v>2215</v>
      </c>
      <c r="I1553" s="618"/>
      <c r="J1553" s="619" t="s">
        <v>2265</v>
      </c>
      <c r="K1553" s="618"/>
      <c r="L1553" s="619">
        <v>89</v>
      </c>
      <c r="M1553" s="620">
        <v>84</v>
      </c>
      <c r="N1553" s="619"/>
      <c r="O1553" s="619">
        <v>14</v>
      </c>
      <c r="P1553" s="619" t="s">
        <v>760</v>
      </c>
      <c r="Q1553" s="662" t="s">
        <v>1002</v>
      </c>
      <c r="R1553" s="618"/>
      <c r="S1553" s="621" t="s">
        <v>2404</v>
      </c>
      <c r="T1553" s="619" t="s">
        <v>1064</v>
      </c>
    </row>
    <row r="1554" spans="1:20">
      <c r="A1554" s="630">
        <v>2202215</v>
      </c>
      <c r="B1554" s="628"/>
      <c r="C1554" s="623"/>
      <c r="D1554" s="623"/>
      <c r="E1554" s="627" t="s">
        <v>2267</v>
      </c>
      <c r="F1554" s="631" t="s">
        <v>2425</v>
      </c>
      <c r="G1554" s="661">
        <v>220</v>
      </c>
      <c r="H1554" s="633">
        <v>2215</v>
      </c>
      <c r="I1554" s="618"/>
      <c r="J1554" s="619" t="s">
        <v>2267</v>
      </c>
      <c r="K1554" s="618"/>
      <c r="L1554" s="619">
        <v>90</v>
      </c>
      <c r="M1554" s="620">
        <v>85</v>
      </c>
      <c r="N1554" s="619"/>
      <c r="O1554" s="619">
        <v>14</v>
      </c>
      <c r="P1554" s="619" t="s">
        <v>760</v>
      </c>
      <c r="Q1554" s="662" t="s">
        <v>1002</v>
      </c>
      <c r="R1554" s="618"/>
      <c r="S1554" s="621" t="s">
        <v>2404</v>
      </c>
      <c r="T1554" s="619" t="s">
        <v>1066</v>
      </c>
    </row>
    <row r="1555" spans="1:20">
      <c r="A1555" s="630">
        <v>2252215</v>
      </c>
      <c r="B1555" s="628"/>
      <c r="C1555" s="623"/>
      <c r="D1555" s="623"/>
      <c r="E1555" s="627" t="s">
        <v>2269</v>
      </c>
      <c r="F1555" s="631" t="s">
        <v>2426</v>
      </c>
      <c r="G1555" s="661">
        <v>225</v>
      </c>
      <c r="H1555" s="633">
        <v>2215</v>
      </c>
      <c r="I1555" s="618"/>
      <c r="J1555" s="619" t="s">
        <v>2269</v>
      </c>
      <c r="K1555" s="618"/>
      <c r="L1555" s="619">
        <v>91</v>
      </c>
      <c r="M1555" s="620">
        <v>86</v>
      </c>
      <c r="N1555" s="619"/>
      <c r="O1555" s="619">
        <v>14</v>
      </c>
      <c r="P1555" s="619" t="s">
        <v>760</v>
      </c>
      <c r="Q1555" s="662" t="s">
        <v>1002</v>
      </c>
      <c r="R1555" s="618"/>
      <c r="S1555" s="621" t="s">
        <v>2404</v>
      </c>
      <c r="T1555" s="619" t="s">
        <v>23</v>
      </c>
    </row>
    <row r="1556" spans="1:20">
      <c r="A1556" s="622"/>
      <c r="B1556" s="628"/>
      <c r="C1556" s="623"/>
      <c r="D1556" s="623"/>
      <c r="E1556" s="627" t="s">
        <v>2271</v>
      </c>
      <c r="F1556" s="626"/>
      <c r="G1556" s="623"/>
      <c r="H1556" s="627"/>
      <c r="I1556" s="618"/>
      <c r="J1556" s="618"/>
      <c r="K1556" s="618"/>
      <c r="L1556" s="618"/>
      <c r="M1556" s="618"/>
      <c r="N1556" s="618"/>
      <c r="O1556" s="618"/>
      <c r="P1556" s="618"/>
      <c r="Q1556" s="662"/>
      <c r="R1556" s="618"/>
      <c r="S1556" s="621"/>
      <c r="T1556" s="618"/>
    </row>
    <row r="1557" spans="1:20">
      <c r="A1557" s="630">
        <v>2312215</v>
      </c>
      <c r="B1557" s="628"/>
      <c r="C1557" s="623"/>
      <c r="D1557" s="623"/>
      <c r="E1557" s="627" t="s">
        <v>2272</v>
      </c>
      <c r="F1557" s="631" t="s">
        <v>2427</v>
      </c>
      <c r="G1557" s="661">
        <v>231</v>
      </c>
      <c r="H1557" s="633">
        <v>2215</v>
      </c>
      <c r="I1557" s="618"/>
      <c r="J1557" s="619" t="s">
        <v>2272</v>
      </c>
      <c r="K1557" s="618"/>
      <c r="L1557" s="619">
        <v>92</v>
      </c>
      <c r="M1557" s="620">
        <v>87</v>
      </c>
      <c r="N1557" s="619"/>
      <c r="O1557" s="619">
        <v>14</v>
      </c>
      <c r="P1557" s="619" t="s">
        <v>760</v>
      </c>
      <c r="Q1557" s="662" t="s">
        <v>1002</v>
      </c>
      <c r="R1557" s="618"/>
      <c r="S1557" s="621" t="s">
        <v>2404</v>
      </c>
      <c r="T1557" s="619" t="s">
        <v>1072</v>
      </c>
    </row>
    <row r="1558" spans="1:20">
      <c r="A1558" s="630">
        <v>2332215</v>
      </c>
      <c r="B1558" s="628"/>
      <c r="C1558" s="623"/>
      <c r="D1558" s="623"/>
      <c r="E1558" s="627" t="s">
        <v>2274</v>
      </c>
      <c r="F1558" s="631" t="s">
        <v>2428</v>
      </c>
      <c r="G1558" s="661">
        <v>233</v>
      </c>
      <c r="H1558" s="633">
        <v>2215</v>
      </c>
      <c r="I1558" s="618"/>
      <c r="J1558" s="619" t="s">
        <v>2274</v>
      </c>
      <c r="K1558" s="618"/>
      <c r="L1558" s="619">
        <v>92</v>
      </c>
      <c r="M1558" s="620">
        <v>87</v>
      </c>
      <c r="N1558" s="619"/>
      <c r="O1558" s="619">
        <v>14</v>
      </c>
      <c r="P1558" s="619" t="s">
        <v>760</v>
      </c>
      <c r="Q1558" s="662" t="s">
        <v>1002</v>
      </c>
      <c r="R1558" s="618"/>
      <c r="S1558" s="621" t="s">
        <v>2404</v>
      </c>
      <c r="T1558" s="619" t="s">
        <v>2276</v>
      </c>
    </row>
    <row r="1559" spans="1:20">
      <c r="A1559" s="630">
        <v>2392215</v>
      </c>
      <c r="B1559" s="628"/>
      <c r="C1559" s="623"/>
      <c r="D1559" s="623"/>
      <c r="E1559" s="627" t="s">
        <v>2277</v>
      </c>
      <c r="F1559" s="631" t="s">
        <v>2429</v>
      </c>
      <c r="G1559" s="661">
        <v>239</v>
      </c>
      <c r="H1559" s="633">
        <v>2215</v>
      </c>
      <c r="I1559" s="618"/>
      <c r="J1559" s="619" t="s">
        <v>2277</v>
      </c>
      <c r="K1559" s="618"/>
      <c r="L1559" s="619">
        <v>92</v>
      </c>
      <c r="M1559" s="620">
        <v>87</v>
      </c>
      <c r="N1559" s="619"/>
      <c r="O1559" s="619">
        <v>14</v>
      </c>
      <c r="P1559" s="619" t="s">
        <v>760</v>
      </c>
      <c r="Q1559" s="662" t="s">
        <v>1002</v>
      </c>
      <c r="R1559" s="618"/>
      <c r="S1559" s="621" t="s">
        <v>2404</v>
      </c>
      <c r="T1559" s="619" t="s">
        <v>1078</v>
      </c>
    </row>
    <row r="1560" spans="1:20">
      <c r="A1560" s="630">
        <v>2502215</v>
      </c>
      <c r="B1560" s="628"/>
      <c r="C1560" s="623"/>
      <c r="D1560" s="623"/>
      <c r="E1560" s="627" t="s">
        <v>2279</v>
      </c>
      <c r="F1560" s="631" t="s">
        <v>2430</v>
      </c>
      <c r="G1560" s="661">
        <v>250</v>
      </c>
      <c r="H1560" s="633">
        <v>2215</v>
      </c>
      <c r="I1560" s="618"/>
      <c r="J1560" s="619" t="s">
        <v>2279</v>
      </c>
      <c r="K1560" s="618"/>
      <c r="L1560" s="619">
        <v>93</v>
      </c>
      <c r="M1560" s="620">
        <v>88</v>
      </c>
      <c r="N1560" s="619"/>
      <c r="O1560" s="619">
        <v>14</v>
      </c>
      <c r="P1560" s="619" t="s">
        <v>760</v>
      </c>
      <c r="Q1560" s="662" t="s">
        <v>1002</v>
      </c>
      <c r="R1560" s="618"/>
      <c r="S1560" s="621" t="s">
        <v>2404</v>
      </c>
      <c r="T1560" s="619" t="s">
        <v>1079</v>
      </c>
    </row>
    <row r="1561" spans="1:20">
      <c r="A1561" s="630">
        <v>2602215</v>
      </c>
      <c r="B1561" s="628"/>
      <c r="C1561" s="623"/>
      <c r="D1561" s="623"/>
      <c r="E1561" s="627" t="s">
        <v>2281</v>
      </c>
      <c r="F1561" s="631" t="s">
        <v>2431</v>
      </c>
      <c r="G1561" s="661">
        <v>260</v>
      </c>
      <c r="H1561" s="633">
        <v>2215</v>
      </c>
      <c r="I1561" s="618"/>
      <c r="J1561" s="619" t="s">
        <v>2281</v>
      </c>
      <c r="K1561" s="618"/>
      <c r="L1561" s="619">
        <v>95</v>
      </c>
      <c r="M1561" s="620">
        <v>90</v>
      </c>
      <c r="N1561" s="619"/>
      <c r="O1561" s="619">
        <v>14</v>
      </c>
      <c r="P1561" s="619" t="s">
        <v>760</v>
      </c>
      <c r="Q1561" s="662" t="s">
        <v>1002</v>
      </c>
      <c r="R1561" s="618"/>
      <c r="S1561" s="621" t="s">
        <v>2404</v>
      </c>
      <c r="T1561" s="619" t="s">
        <v>1081</v>
      </c>
    </row>
    <row r="1562" spans="1:20">
      <c r="A1562" s="630">
        <v>2702215</v>
      </c>
      <c r="B1562" s="628"/>
      <c r="C1562" s="623"/>
      <c r="D1562" s="623"/>
      <c r="E1562" s="627" t="s">
        <v>2283</v>
      </c>
      <c r="F1562" s="631" t="s">
        <v>2432</v>
      </c>
      <c r="G1562" s="661">
        <v>270</v>
      </c>
      <c r="H1562" s="633">
        <v>2215</v>
      </c>
      <c r="I1562" s="618"/>
      <c r="J1562" s="619" t="s">
        <v>2283</v>
      </c>
      <c r="K1562" s="618"/>
      <c r="L1562" s="619">
        <v>94</v>
      </c>
      <c r="M1562" s="620">
        <v>89</v>
      </c>
      <c r="N1562" s="619"/>
      <c r="O1562" s="619">
        <v>14</v>
      </c>
      <c r="P1562" s="619" t="s">
        <v>760</v>
      </c>
      <c r="Q1562" s="662" t="s">
        <v>1002</v>
      </c>
      <c r="R1562" s="618"/>
      <c r="S1562" s="621" t="s">
        <v>2404</v>
      </c>
      <c r="T1562" s="619" t="s">
        <v>1083</v>
      </c>
    </row>
    <row r="1563" spans="1:20">
      <c r="A1563" s="630">
        <v>2812215</v>
      </c>
      <c r="B1563" s="628"/>
      <c r="C1563" s="623"/>
      <c r="D1563" s="623"/>
      <c r="E1563" s="627" t="s">
        <v>2285</v>
      </c>
      <c r="F1563" s="631" t="s">
        <v>2433</v>
      </c>
      <c r="G1563" s="661">
        <v>281</v>
      </c>
      <c r="H1563" s="633">
        <v>2215</v>
      </c>
      <c r="I1563" s="618"/>
      <c r="J1563" s="619" t="s">
        <v>2285</v>
      </c>
      <c r="K1563" s="618"/>
      <c r="L1563" s="619">
        <v>95</v>
      </c>
      <c r="M1563" s="620">
        <v>90</v>
      </c>
      <c r="N1563" s="619"/>
      <c r="O1563" s="619">
        <v>14</v>
      </c>
      <c r="P1563" s="619" t="s">
        <v>760</v>
      </c>
      <c r="Q1563" s="662" t="s">
        <v>1002</v>
      </c>
      <c r="R1563" s="618"/>
      <c r="S1563" s="621" t="s">
        <v>2404</v>
      </c>
      <c r="T1563" s="619" t="s">
        <v>1085</v>
      </c>
    </row>
    <row r="1564" spans="1:20">
      <c r="A1564" s="630">
        <v>2822215</v>
      </c>
      <c r="B1564" s="628"/>
      <c r="C1564" s="623"/>
      <c r="D1564" s="623"/>
      <c r="E1564" s="627" t="s">
        <v>2287</v>
      </c>
      <c r="F1564" s="631" t="s">
        <v>2434</v>
      </c>
      <c r="G1564" s="661">
        <v>282</v>
      </c>
      <c r="H1564" s="633">
        <v>2215</v>
      </c>
      <c r="I1564" s="618"/>
      <c r="J1564" s="619" t="s">
        <v>2287</v>
      </c>
      <c r="K1564" s="618"/>
      <c r="L1564" s="619">
        <v>95</v>
      </c>
      <c r="M1564" s="620">
        <v>90</v>
      </c>
      <c r="N1564" s="619"/>
      <c r="O1564" s="619">
        <v>14</v>
      </c>
      <c r="P1564" s="619" t="s">
        <v>760</v>
      </c>
      <c r="Q1564" s="662" t="s">
        <v>1002</v>
      </c>
      <c r="R1564" s="618"/>
      <c r="S1564" s="621" t="s">
        <v>2404</v>
      </c>
      <c r="T1564" s="619" t="s">
        <v>1087</v>
      </c>
    </row>
    <row r="1565" spans="1:20">
      <c r="A1565" s="630">
        <v>2902215</v>
      </c>
      <c r="B1565" s="628"/>
      <c r="C1565" s="623"/>
      <c r="D1565" s="623"/>
      <c r="E1565" s="627" t="s">
        <v>2289</v>
      </c>
      <c r="F1565" s="631" t="s">
        <v>2435</v>
      </c>
      <c r="G1565" s="661">
        <v>290</v>
      </c>
      <c r="H1565" s="633">
        <v>2215</v>
      </c>
      <c r="I1565" s="618"/>
      <c r="J1565" s="619" t="s">
        <v>2289</v>
      </c>
      <c r="K1565" s="618"/>
      <c r="L1565" s="619">
        <v>95</v>
      </c>
      <c r="M1565" s="620">
        <v>90</v>
      </c>
      <c r="N1565" s="619"/>
      <c r="O1565" s="619">
        <v>14</v>
      </c>
      <c r="P1565" s="619" t="s">
        <v>760</v>
      </c>
      <c r="Q1565" s="662" t="s">
        <v>1002</v>
      </c>
      <c r="R1565" s="618"/>
      <c r="S1565" s="621" t="s">
        <v>2404</v>
      </c>
      <c r="T1565" s="619" t="s">
        <v>1090</v>
      </c>
    </row>
    <row r="1566" spans="1:20">
      <c r="A1566" s="622"/>
      <c r="B1566" s="628"/>
      <c r="C1566" s="623"/>
      <c r="D1566" s="623" t="s">
        <v>851</v>
      </c>
      <c r="E1566" s="627" t="s">
        <v>2436</v>
      </c>
      <c r="F1566" s="626"/>
      <c r="G1566" s="623"/>
      <c r="H1566" s="627"/>
      <c r="I1566" s="618"/>
      <c r="J1566" s="618"/>
      <c r="K1566" s="618"/>
      <c r="L1566" s="618"/>
      <c r="M1566" s="618"/>
      <c r="N1566" s="618"/>
      <c r="O1566" s="618"/>
      <c r="P1566" s="618"/>
      <c r="Q1566" s="662"/>
      <c r="R1566" s="618"/>
      <c r="S1566" s="621"/>
      <c r="T1566" s="618"/>
    </row>
    <row r="1567" spans="1:20">
      <c r="A1567" s="622"/>
      <c r="B1567" s="628"/>
      <c r="C1567" s="623"/>
      <c r="D1567" s="623"/>
      <c r="E1567" s="627" t="s">
        <v>2437</v>
      </c>
      <c r="F1567" s="626"/>
      <c r="G1567" s="623"/>
      <c r="H1567" s="627"/>
      <c r="I1567" s="618"/>
      <c r="J1567" s="618"/>
      <c r="K1567" s="618"/>
      <c r="L1567" s="618"/>
      <c r="M1567" s="618"/>
      <c r="N1567" s="618"/>
      <c r="O1567" s="618"/>
      <c r="P1567" s="618"/>
      <c r="Q1567" s="662"/>
      <c r="R1567" s="618"/>
      <c r="S1567" s="621"/>
      <c r="T1567" s="618"/>
    </row>
    <row r="1568" spans="1:20">
      <c r="A1568" s="630">
        <v>1112216</v>
      </c>
      <c r="B1568" s="628"/>
      <c r="C1568" s="623"/>
      <c r="D1568" s="623"/>
      <c r="E1568" s="627" t="s">
        <v>2214</v>
      </c>
      <c r="F1568" s="631" t="s">
        <v>2438</v>
      </c>
      <c r="G1568" s="661">
        <v>111</v>
      </c>
      <c r="H1568" s="633">
        <v>2216</v>
      </c>
      <c r="I1568" s="618"/>
      <c r="J1568" s="619" t="s">
        <v>2214</v>
      </c>
      <c r="K1568" s="618"/>
      <c r="L1568" s="619">
        <v>81</v>
      </c>
      <c r="M1568" s="620">
        <v>76</v>
      </c>
      <c r="N1568" s="619"/>
      <c r="O1568" s="619">
        <v>14</v>
      </c>
      <c r="P1568" s="619" t="s">
        <v>760</v>
      </c>
      <c r="Q1568" s="662" t="s">
        <v>1002</v>
      </c>
      <c r="R1568" s="618"/>
      <c r="S1568" s="621" t="s">
        <v>2439</v>
      </c>
      <c r="T1568" s="619" t="s">
        <v>2217</v>
      </c>
    </row>
    <row r="1569" spans="1:20">
      <c r="A1569" s="630">
        <v>1132216</v>
      </c>
      <c r="B1569" s="628"/>
      <c r="C1569" s="623"/>
      <c r="D1569" s="623"/>
      <c r="E1569" s="627" t="s">
        <v>2218</v>
      </c>
      <c r="F1569" s="631" t="s">
        <v>2440</v>
      </c>
      <c r="G1569" s="661">
        <v>113</v>
      </c>
      <c r="H1569" s="633">
        <v>2216</v>
      </c>
      <c r="I1569" s="618"/>
      <c r="J1569" s="619" t="s">
        <v>2218</v>
      </c>
      <c r="K1569" s="618"/>
      <c r="L1569" s="619">
        <v>83</v>
      </c>
      <c r="M1569" s="620">
        <v>78</v>
      </c>
      <c r="N1569" s="619"/>
      <c r="O1569" s="619">
        <v>14</v>
      </c>
      <c r="P1569" s="619" t="s">
        <v>760</v>
      </c>
      <c r="Q1569" s="662" t="s">
        <v>1002</v>
      </c>
      <c r="R1569" s="618"/>
      <c r="S1569" s="621" t="s">
        <v>2439</v>
      </c>
      <c r="T1569" s="619" t="s">
        <v>2220</v>
      </c>
    </row>
    <row r="1570" spans="1:20">
      <c r="A1570" s="630">
        <v>1142216</v>
      </c>
      <c r="B1570" s="628"/>
      <c r="C1570" s="623"/>
      <c r="D1570" s="623"/>
      <c r="E1570" s="627" t="s">
        <v>2221</v>
      </c>
      <c r="F1570" s="631" t="s">
        <v>2441</v>
      </c>
      <c r="G1570" s="661">
        <v>114</v>
      </c>
      <c r="H1570" s="633">
        <v>2216</v>
      </c>
      <c r="I1570" s="618"/>
      <c r="J1570" s="619" t="s">
        <v>2221</v>
      </c>
      <c r="K1570" s="618"/>
      <c r="L1570" s="619">
        <v>84</v>
      </c>
      <c r="M1570" s="620">
        <v>79</v>
      </c>
      <c r="N1570" s="619"/>
      <c r="O1570" s="619">
        <v>14</v>
      </c>
      <c r="P1570" s="619" t="s">
        <v>760</v>
      </c>
      <c r="Q1570" s="662" t="s">
        <v>1002</v>
      </c>
      <c r="R1570" s="618"/>
      <c r="S1570" s="621" t="s">
        <v>2439</v>
      </c>
      <c r="T1570" s="619" t="s">
        <v>1853</v>
      </c>
    </row>
    <row r="1571" spans="1:20">
      <c r="A1571" s="630">
        <v>1002216</v>
      </c>
      <c r="B1571" s="628"/>
      <c r="C1571" s="623"/>
      <c r="D1571" s="623"/>
      <c r="E1571" s="627" t="s">
        <v>2223</v>
      </c>
      <c r="F1571" s="631" t="s">
        <v>2442</v>
      </c>
      <c r="G1571" s="661">
        <v>100</v>
      </c>
      <c r="H1571" s="633">
        <v>2216</v>
      </c>
      <c r="I1571" s="618"/>
      <c r="J1571" s="619" t="s">
        <v>2223</v>
      </c>
      <c r="K1571" s="618"/>
      <c r="L1571" s="619">
        <v>86</v>
      </c>
      <c r="M1571" s="620">
        <v>81</v>
      </c>
      <c r="N1571" s="619"/>
      <c r="O1571" s="619">
        <v>14</v>
      </c>
      <c r="P1571" s="619" t="s">
        <v>760</v>
      </c>
      <c r="Q1571" s="662" t="s">
        <v>1002</v>
      </c>
      <c r="R1571" s="618"/>
      <c r="S1571" s="621" t="s">
        <v>2439</v>
      </c>
      <c r="T1571" s="619" t="s">
        <v>1946</v>
      </c>
    </row>
    <row r="1572" spans="1:20">
      <c r="A1572" s="630">
        <v>1402216</v>
      </c>
      <c r="B1572" s="628"/>
      <c r="C1572" s="623"/>
      <c r="D1572" s="623"/>
      <c r="E1572" s="627" t="s">
        <v>2225</v>
      </c>
      <c r="F1572" s="631" t="s">
        <v>2443</v>
      </c>
      <c r="G1572" s="661">
        <v>140</v>
      </c>
      <c r="H1572" s="633">
        <v>2216</v>
      </c>
      <c r="I1572" s="618"/>
      <c r="J1572" s="619" t="s">
        <v>2225</v>
      </c>
      <c r="K1572" s="618"/>
      <c r="L1572" s="619">
        <v>86</v>
      </c>
      <c r="M1572" s="620">
        <v>81</v>
      </c>
      <c r="N1572" s="619"/>
      <c r="O1572" s="619">
        <v>14</v>
      </c>
      <c r="P1572" s="619" t="s">
        <v>760</v>
      </c>
      <c r="Q1572" s="662" t="s">
        <v>1002</v>
      </c>
      <c r="R1572" s="618"/>
      <c r="S1572" s="621" t="s">
        <v>2439</v>
      </c>
      <c r="T1572" s="619" t="s">
        <v>1017</v>
      </c>
    </row>
    <row r="1573" spans="1:20">
      <c r="A1573" s="630">
        <v>3002216</v>
      </c>
      <c r="B1573" s="628"/>
      <c r="C1573" s="623"/>
      <c r="D1573" s="623"/>
      <c r="E1573" s="627" t="s">
        <v>2227</v>
      </c>
      <c r="F1573" s="631" t="s">
        <v>2444</v>
      </c>
      <c r="G1573" s="661">
        <v>300</v>
      </c>
      <c r="H1573" s="633">
        <v>2216</v>
      </c>
      <c r="I1573" s="618"/>
      <c r="J1573" s="619" t="s">
        <v>2227</v>
      </c>
      <c r="K1573" s="618"/>
      <c r="L1573" s="619">
        <v>101</v>
      </c>
      <c r="M1573" s="620">
        <v>96</v>
      </c>
      <c r="N1573" s="619"/>
      <c r="O1573" s="619">
        <v>14</v>
      </c>
      <c r="P1573" s="619" t="s">
        <v>760</v>
      </c>
      <c r="Q1573" s="662"/>
      <c r="R1573" s="618"/>
      <c r="S1573" s="621" t="s">
        <v>2439</v>
      </c>
      <c r="T1573" s="619" t="s">
        <v>2229</v>
      </c>
    </row>
    <row r="1574" spans="1:20">
      <c r="A1574" s="622"/>
      <c r="B1574" s="628"/>
      <c r="C1574" s="623"/>
      <c r="D1574" s="623"/>
      <c r="E1574" s="627" t="s">
        <v>2230</v>
      </c>
      <c r="F1574" s="626"/>
      <c r="G1574" s="623"/>
      <c r="H1574" s="627"/>
      <c r="I1574" s="618"/>
      <c r="J1574" s="618"/>
      <c r="K1574" s="618"/>
      <c r="L1574" s="618"/>
      <c r="M1574" s="618"/>
      <c r="N1574" s="618"/>
      <c r="O1574" s="618"/>
      <c r="P1574" s="618"/>
      <c r="Q1574" s="662"/>
      <c r="R1574" s="618"/>
      <c r="S1574" s="621"/>
      <c r="T1574" s="618"/>
    </row>
    <row r="1575" spans="1:20">
      <c r="A1575" s="630">
        <v>4302216</v>
      </c>
      <c r="B1575" s="628"/>
      <c r="C1575" s="623"/>
      <c r="D1575" s="623"/>
      <c r="E1575" s="627" t="s">
        <v>2231</v>
      </c>
      <c r="F1575" s="631" t="s">
        <v>2445</v>
      </c>
      <c r="G1575" s="661">
        <v>430</v>
      </c>
      <c r="H1575" s="633">
        <v>2216</v>
      </c>
      <c r="I1575" s="618"/>
      <c r="J1575" s="619" t="s">
        <v>2231</v>
      </c>
      <c r="K1575" s="618"/>
      <c r="L1575" s="619">
        <v>107</v>
      </c>
      <c r="M1575" s="620">
        <v>102</v>
      </c>
      <c r="N1575" s="619"/>
      <c r="O1575" s="619">
        <v>14</v>
      </c>
      <c r="P1575" s="619" t="s">
        <v>760</v>
      </c>
      <c r="Q1575" s="662"/>
      <c r="R1575" s="618"/>
      <c r="S1575" s="621" t="s">
        <v>2439</v>
      </c>
      <c r="T1575" s="619" t="s">
        <v>1021</v>
      </c>
    </row>
    <row r="1576" spans="1:20">
      <c r="A1576" s="630">
        <v>4422216</v>
      </c>
      <c r="B1576" s="628"/>
      <c r="C1576" s="623"/>
      <c r="D1576" s="623"/>
      <c r="E1576" s="627" t="s">
        <v>2233</v>
      </c>
      <c r="F1576" s="631" t="s">
        <v>2446</v>
      </c>
      <c r="G1576" s="661">
        <v>442</v>
      </c>
      <c r="H1576" s="633">
        <v>2216</v>
      </c>
      <c r="I1576" s="618"/>
      <c r="J1576" s="619" t="s">
        <v>2233</v>
      </c>
      <c r="K1576" s="618"/>
      <c r="L1576" s="619">
        <v>106</v>
      </c>
      <c r="M1576" s="620">
        <v>101</v>
      </c>
      <c r="N1576" s="619"/>
      <c r="O1576" s="619">
        <v>14</v>
      </c>
      <c r="P1576" s="619" t="s">
        <v>760</v>
      </c>
      <c r="Q1576" s="662"/>
      <c r="R1576" s="618"/>
      <c r="S1576" s="621" t="s">
        <v>2439</v>
      </c>
      <c r="T1576" s="619" t="s">
        <v>1023</v>
      </c>
    </row>
    <row r="1577" spans="1:20">
      <c r="A1577" s="630">
        <v>4002216</v>
      </c>
      <c r="B1577" s="628"/>
      <c r="C1577" s="623"/>
      <c r="D1577" s="623"/>
      <c r="E1577" s="627" t="s">
        <v>2235</v>
      </c>
      <c r="F1577" s="631" t="s">
        <v>2447</v>
      </c>
      <c r="G1577" s="661">
        <v>400</v>
      </c>
      <c r="H1577" s="633">
        <v>2216</v>
      </c>
      <c r="I1577" s="618"/>
      <c r="J1577" s="619" t="s">
        <v>2235</v>
      </c>
      <c r="K1577" s="618"/>
      <c r="L1577" s="619">
        <v>108</v>
      </c>
      <c r="M1577" s="620">
        <v>103</v>
      </c>
      <c r="N1577" s="619"/>
      <c r="O1577" s="619">
        <v>14</v>
      </c>
      <c r="P1577" s="619" t="s">
        <v>760</v>
      </c>
      <c r="Q1577" s="662"/>
      <c r="R1577" s="618"/>
      <c r="S1577" s="621" t="s">
        <v>2439</v>
      </c>
      <c r="T1577" s="619" t="s">
        <v>2237</v>
      </c>
    </row>
    <row r="1578" spans="1:20">
      <c r="A1578" s="622"/>
      <c r="B1578" s="628"/>
      <c r="C1578" s="623"/>
      <c r="D1578" s="623"/>
      <c r="E1578" s="627" t="s">
        <v>1394</v>
      </c>
      <c r="F1578" s="626"/>
      <c r="G1578" s="623"/>
      <c r="H1578" s="627"/>
      <c r="I1578" s="618"/>
      <c r="J1578" s="618"/>
      <c r="K1578" s="618"/>
      <c r="L1578" s="618"/>
      <c r="M1578" s="618"/>
      <c r="N1578" s="618"/>
      <c r="O1578" s="618"/>
      <c r="P1578" s="618"/>
      <c r="Q1578" s="662"/>
      <c r="R1578" s="618"/>
      <c r="S1578" s="621"/>
      <c r="T1578" s="618"/>
    </row>
    <row r="1579" spans="1:20">
      <c r="A1579" s="630">
        <v>5822216</v>
      </c>
      <c r="B1579" s="628"/>
      <c r="C1579" s="623"/>
      <c r="D1579" s="623"/>
      <c r="E1579" s="627" t="s">
        <v>2238</v>
      </c>
      <c r="F1579" s="631" t="s">
        <v>2448</v>
      </c>
      <c r="G1579" s="661">
        <v>582</v>
      </c>
      <c r="H1579" s="633">
        <v>2216</v>
      </c>
      <c r="I1579" s="618"/>
      <c r="J1579" s="619" t="s">
        <v>2238</v>
      </c>
      <c r="K1579" s="618"/>
      <c r="L1579" s="619">
        <v>118</v>
      </c>
      <c r="M1579" s="620">
        <v>109</v>
      </c>
      <c r="N1579" s="619"/>
      <c r="O1579" s="619">
        <v>14</v>
      </c>
      <c r="P1579" s="619" t="s">
        <v>760</v>
      </c>
      <c r="Q1579" s="662"/>
      <c r="R1579" s="618"/>
      <c r="S1579" s="621" t="s">
        <v>2439</v>
      </c>
      <c r="T1579" s="619" t="s">
        <v>1037</v>
      </c>
    </row>
    <row r="1580" spans="1:20">
      <c r="A1580" s="630">
        <v>5002216</v>
      </c>
      <c r="B1580" s="628"/>
      <c r="C1580" s="623"/>
      <c r="D1580" s="623"/>
      <c r="E1580" s="627" t="s">
        <v>2240</v>
      </c>
      <c r="F1580" s="631" t="s">
        <v>2449</v>
      </c>
      <c r="G1580" s="661">
        <v>500</v>
      </c>
      <c r="H1580" s="633">
        <v>2216</v>
      </c>
      <c r="I1580" s="618"/>
      <c r="J1580" s="619" t="s">
        <v>2240</v>
      </c>
      <c r="K1580" s="618"/>
      <c r="L1580" s="619">
        <v>119</v>
      </c>
      <c r="M1580" s="620">
        <v>110</v>
      </c>
      <c r="N1580" s="619"/>
      <c r="O1580" s="619">
        <v>14</v>
      </c>
      <c r="P1580" s="619" t="s">
        <v>760</v>
      </c>
      <c r="Q1580" s="662"/>
      <c r="R1580" s="618"/>
      <c r="S1580" s="621" t="s">
        <v>2439</v>
      </c>
      <c r="T1580" s="619" t="s">
        <v>252</v>
      </c>
    </row>
    <row r="1581" spans="1:20">
      <c r="A1581" s="622"/>
      <c r="B1581" s="628"/>
      <c r="C1581" s="623"/>
      <c r="D1581" s="623"/>
      <c r="E1581" s="627" t="s">
        <v>2242</v>
      </c>
      <c r="F1581" s="626"/>
      <c r="G1581" s="623"/>
      <c r="H1581" s="627"/>
      <c r="I1581" s="618"/>
      <c r="J1581" s="618"/>
      <c r="K1581" s="618"/>
      <c r="L1581" s="618"/>
      <c r="M1581" s="618"/>
      <c r="N1581" s="618"/>
      <c r="O1581" s="618"/>
      <c r="P1581" s="618"/>
      <c r="Q1581" s="662"/>
      <c r="R1581" s="618"/>
      <c r="S1581" s="621"/>
      <c r="T1581" s="618"/>
    </row>
    <row r="1582" spans="1:20">
      <c r="A1582" s="630">
        <v>6152216</v>
      </c>
      <c r="B1582" s="628"/>
      <c r="C1582" s="623"/>
      <c r="D1582" s="623"/>
      <c r="E1582" s="627" t="s">
        <v>2243</v>
      </c>
      <c r="F1582" s="631" t="s">
        <v>2450</v>
      </c>
      <c r="G1582" s="661">
        <v>615</v>
      </c>
      <c r="H1582" s="633">
        <v>2216</v>
      </c>
      <c r="I1582" s="618"/>
      <c r="J1582" s="619" t="s">
        <v>2243</v>
      </c>
      <c r="K1582" s="618"/>
      <c r="L1582" s="619">
        <v>126</v>
      </c>
      <c r="M1582" s="620">
        <v>117</v>
      </c>
      <c r="N1582" s="619"/>
      <c r="O1582" s="619">
        <v>14</v>
      </c>
      <c r="P1582" s="619" t="s">
        <v>760</v>
      </c>
      <c r="Q1582" s="662" t="s">
        <v>1043</v>
      </c>
      <c r="R1582" s="618"/>
      <c r="S1582" s="621" t="s">
        <v>2439</v>
      </c>
      <c r="T1582" s="619" t="s">
        <v>1041</v>
      </c>
    </row>
    <row r="1583" spans="1:20">
      <c r="A1583" s="630">
        <v>6102216</v>
      </c>
      <c r="B1583" s="628"/>
      <c r="C1583" s="623"/>
      <c r="D1583" s="623"/>
      <c r="E1583" s="627" t="s">
        <v>2245</v>
      </c>
      <c r="F1583" s="631" t="s">
        <v>2451</v>
      </c>
      <c r="G1583" s="661">
        <v>610</v>
      </c>
      <c r="H1583" s="633">
        <v>2216</v>
      </c>
      <c r="I1583" s="618"/>
      <c r="J1583" s="619" t="s">
        <v>2245</v>
      </c>
      <c r="K1583" s="618"/>
      <c r="L1583" s="619">
        <v>122</v>
      </c>
      <c r="M1583" s="620">
        <v>113</v>
      </c>
      <c r="N1583" s="619"/>
      <c r="O1583" s="619">
        <v>14</v>
      </c>
      <c r="P1583" s="619" t="s">
        <v>760</v>
      </c>
      <c r="Q1583" s="662" t="s">
        <v>1043</v>
      </c>
      <c r="R1583" s="618"/>
      <c r="S1583" s="621" t="s">
        <v>2439</v>
      </c>
      <c r="T1583" s="619" t="s">
        <v>39</v>
      </c>
    </row>
    <row r="1584" spans="1:20">
      <c r="A1584" s="630">
        <v>6002216</v>
      </c>
      <c r="B1584" s="670"/>
      <c r="C1584" s="632"/>
      <c r="D1584" s="632"/>
      <c r="E1584" s="637" t="s">
        <v>2247</v>
      </c>
      <c r="F1584" s="631" t="s">
        <v>2452</v>
      </c>
      <c r="G1584" s="661">
        <v>600</v>
      </c>
      <c r="H1584" s="633">
        <v>2216</v>
      </c>
      <c r="I1584" s="618"/>
      <c r="J1584" s="619" t="s">
        <v>2247</v>
      </c>
      <c r="K1584" s="618"/>
      <c r="L1584" s="619">
        <v>126</v>
      </c>
      <c r="M1584" s="620">
        <v>117</v>
      </c>
      <c r="N1584" s="619"/>
      <c r="O1584" s="619">
        <v>14</v>
      </c>
      <c r="P1584" s="619" t="s">
        <v>760</v>
      </c>
      <c r="Q1584" s="662"/>
      <c r="R1584" s="618"/>
      <c r="S1584" s="621" t="s">
        <v>2439</v>
      </c>
      <c r="T1584" s="619" t="s">
        <v>1048</v>
      </c>
    </row>
    <row r="1585" spans="1:20">
      <c r="A1585" s="622"/>
      <c r="B1585" s="628"/>
      <c r="C1585" s="623"/>
      <c r="D1585" s="623"/>
      <c r="E1585" s="627" t="s">
        <v>2249</v>
      </c>
      <c r="F1585" s="626"/>
      <c r="G1585" s="623"/>
      <c r="H1585" s="627"/>
      <c r="I1585" s="618"/>
      <c r="J1585" s="618"/>
      <c r="K1585" s="618"/>
      <c r="L1585" s="618"/>
      <c r="M1585" s="618"/>
      <c r="N1585" s="618"/>
      <c r="O1585" s="618"/>
      <c r="P1585" s="618"/>
      <c r="Q1585" s="662"/>
      <c r="R1585" s="618"/>
      <c r="S1585" s="621"/>
      <c r="T1585" s="618"/>
    </row>
    <row r="1586" spans="1:20">
      <c r="A1586" s="630">
        <v>7342216</v>
      </c>
      <c r="B1586" s="628"/>
      <c r="C1586" s="623"/>
      <c r="D1586" s="623"/>
      <c r="E1586" s="627" t="s">
        <v>2250</v>
      </c>
      <c r="F1586" s="631" t="s">
        <v>2453</v>
      </c>
      <c r="G1586" s="661">
        <v>734</v>
      </c>
      <c r="H1586" s="633">
        <v>2216</v>
      </c>
      <c r="I1586" s="618"/>
      <c r="J1586" s="619" t="s">
        <v>2250</v>
      </c>
      <c r="K1586" s="618"/>
      <c r="L1586" s="619">
        <v>131</v>
      </c>
      <c r="M1586" s="620">
        <v>122</v>
      </c>
      <c r="N1586" s="619"/>
      <c r="O1586" s="619">
        <v>14</v>
      </c>
      <c r="P1586" s="619" t="s">
        <v>760</v>
      </c>
      <c r="Q1586" s="662"/>
      <c r="R1586" s="618"/>
      <c r="S1586" s="621" t="s">
        <v>2439</v>
      </c>
      <c r="T1586" s="619" t="s">
        <v>1051</v>
      </c>
    </row>
    <row r="1587" spans="1:20">
      <c r="A1587" s="630">
        <v>7352216</v>
      </c>
      <c r="B1587" s="628"/>
      <c r="C1587" s="623"/>
      <c r="D1587" s="623"/>
      <c r="E1587" s="627" t="s">
        <v>2252</v>
      </c>
      <c r="F1587" s="631" t="s">
        <v>2454</v>
      </c>
      <c r="G1587" s="661">
        <v>735</v>
      </c>
      <c r="H1587" s="633">
        <v>2216</v>
      </c>
      <c r="I1587" s="618"/>
      <c r="J1587" s="619" t="s">
        <v>2252</v>
      </c>
      <c r="K1587" s="618"/>
      <c r="L1587" s="619">
        <v>131</v>
      </c>
      <c r="M1587" s="620">
        <v>122</v>
      </c>
      <c r="N1587" s="619"/>
      <c r="O1587" s="619">
        <v>14</v>
      </c>
      <c r="P1587" s="619" t="s">
        <v>760</v>
      </c>
      <c r="Q1587" s="662"/>
      <c r="R1587" s="618"/>
      <c r="S1587" s="621" t="s">
        <v>2439</v>
      </c>
      <c r="T1587" s="619" t="s">
        <v>1053</v>
      </c>
    </row>
    <row r="1588" spans="1:20">
      <c r="A1588" s="630">
        <v>7302216</v>
      </c>
      <c r="B1588" s="628"/>
      <c r="C1588" s="623"/>
      <c r="D1588" s="623"/>
      <c r="E1588" s="627" t="s">
        <v>2254</v>
      </c>
      <c r="F1588" s="631" t="s">
        <v>2455</v>
      </c>
      <c r="G1588" s="661">
        <v>730</v>
      </c>
      <c r="H1588" s="633">
        <v>2216</v>
      </c>
      <c r="I1588" s="618"/>
      <c r="J1588" s="619" t="s">
        <v>2254</v>
      </c>
      <c r="K1588" s="618"/>
      <c r="L1588" s="619">
        <v>131</v>
      </c>
      <c r="M1588" s="620">
        <v>122</v>
      </c>
      <c r="N1588" s="619"/>
      <c r="O1588" s="619">
        <v>14</v>
      </c>
      <c r="P1588" s="619" t="s">
        <v>760</v>
      </c>
      <c r="Q1588" s="662"/>
      <c r="R1588" s="618"/>
      <c r="S1588" s="621" t="s">
        <v>2439</v>
      </c>
      <c r="T1588" s="619" t="s">
        <v>1055</v>
      </c>
    </row>
    <row r="1589" spans="1:20">
      <c r="A1589" s="630">
        <v>7002216</v>
      </c>
      <c r="B1589" s="628"/>
      <c r="C1589" s="623"/>
      <c r="D1589" s="623"/>
      <c r="E1589" s="627" t="s">
        <v>2256</v>
      </c>
      <c r="F1589" s="631" t="s">
        <v>2456</v>
      </c>
      <c r="G1589" s="661">
        <v>700</v>
      </c>
      <c r="H1589" s="633">
        <v>2216</v>
      </c>
      <c r="I1589" s="618"/>
      <c r="J1589" s="619" t="s">
        <v>2256</v>
      </c>
      <c r="K1589" s="618"/>
      <c r="L1589" s="619">
        <v>132</v>
      </c>
      <c r="M1589" s="620">
        <v>123</v>
      </c>
      <c r="N1589" s="619"/>
      <c r="O1589" s="619">
        <v>14</v>
      </c>
      <c r="P1589" s="619" t="s">
        <v>760</v>
      </c>
      <c r="Q1589" s="662"/>
      <c r="R1589" s="618"/>
      <c r="S1589" s="621" t="s">
        <v>2439</v>
      </c>
      <c r="T1589" s="619" t="s">
        <v>1057</v>
      </c>
    </row>
    <row r="1590" spans="1:20">
      <c r="A1590" s="622"/>
      <c r="B1590" s="628"/>
      <c r="C1590" s="623"/>
      <c r="D1590" s="623"/>
      <c r="E1590" s="627" t="s">
        <v>2258</v>
      </c>
      <c r="F1590" s="626"/>
      <c r="G1590" s="623"/>
      <c r="H1590" s="627"/>
      <c r="I1590" s="618"/>
      <c r="J1590" s="618"/>
      <c r="K1590" s="618"/>
      <c r="L1590" s="618"/>
      <c r="M1590" s="618"/>
      <c r="N1590" s="618"/>
      <c r="O1590" s="618"/>
      <c r="P1590" s="618"/>
      <c r="Q1590" s="662"/>
      <c r="R1590" s="618"/>
      <c r="S1590" s="621"/>
      <c r="T1590" s="618"/>
    </row>
    <row r="1591" spans="1:20">
      <c r="A1591" s="630">
        <v>8952216</v>
      </c>
      <c r="B1591" s="628"/>
      <c r="C1591" s="623"/>
      <c r="D1591" s="623"/>
      <c r="E1591" s="627" t="s">
        <v>2259</v>
      </c>
      <c r="F1591" s="631" t="s">
        <v>2457</v>
      </c>
      <c r="G1591" s="661">
        <v>895</v>
      </c>
      <c r="H1591" s="633">
        <v>2216</v>
      </c>
      <c r="I1591" s="618"/>
      <c r="J1591" s="619" t="s">
        <v>2259</v>
      </c>
      <c r="K1591" s="618"/>
      <c r="L1591" s="619">
        <v>139</v>
      </c>
      <c r="M1591" s="620">
        <v>129</v>
      </c>
      <c r="N1591" s="619"/>
      <c r="O1591" s="619">
        <v>14</v>
      </c>
      <c r="P1591" s="619" t="s">
        <v>760</v>
      </c>
      <c r="Q1591" s="662"/>
      <c r="R1591" s="618"/>
      <c r="S1591" s="621" t="s">
        <v>2439</v>
      </c>
      <c r="T1591" s="619" t="s">
        <v>2261</v>
      </c>
    </row>
    <row r="1592" spans="1:20">
      <c r="A1592" s="630">
        <v>8002216</v>
      </c>
      <c r="B1592" s="628"/>
      <c r="C1592" s="623"/>
      <c r="D1592" s="623"/>
      <c r="E1592" s="627" t="s">
        <v>2262</v>
      </c>
      <c r="F1592" s="631" t="s">
        <v>2458</v>
      </c>
      <c r="G1592" s="661">
        <v>800</v>
      </c>
      <c r="H1592" s="633">
        <v>2216</v>
      </c>
      <c r="I1592" s="618"/>
      <c r="J1592" s="619" t="s">
        <v>2262</v>
      </c>
      <c r="K1592" s="618"/>
      <c r="L1592" s="619">
        <v>139</v>
      </c>
      <c r="M1592" s="620">
        <v>129</v>
      </c>
      <c r="N1592" s="619"/>
      <c r="O1592" s="619">
        <v>14</v>
      </c>
      <c r="P1592" s="619" t="s">
        <v>760</v>
      </c>
      <c r="Q1592" s="662"/>
      <c r="R1592" s="618"/>
      <c r="S1592" s="621" t="s">
        <v>2439</v>
      </c>
      <c r="T1592" s="619" t="s">
        <v>1061</v>
      </c>
    </row>
    <row r="1593" spans="1:20">
      <c r="A1593" s="622"/>
      <c r="B1593" s="628"/>
      <c r="C1593" s="623"/>
      <c r="D1593" s="623"/>
      <c r="E1593" s="627" t="s">
        <v>2264</v>
      </c>
      <c r="F1593" s="626"/>
      <c r="G1593" s="623"/>
      <c r="H1593" s="627"/>
      <c r="I1593" s="618"/>
      <c r="J1593" s="618"/>
      <c r="K1593" s="618"/>
      <c r="L1593" s="618"/>
      <c r="M1593" s="618"/>
      <c r="N1593" s="618"/>
      <c r="O1593" s="618"/>
      <c r="P1593" s="618"/>
      <c r="Q1593" s="662"/>
      <c r="R1593" s="618"/>
      <c r="S1593" s="621"/>
      <c r="T1593" s="618"/>
    </row>
    <row r="1594" spans="1:20">
      <c r="A1594" s="630">
        <v>2102216</v>
      </c>
      <c r="B1594" s="628"/>
      <c r="C1594" s="623"/>
      <c r="D1594" s="623"/>
      <c r="E1594" s="627" t="s">
        <v>2265</v>
      </c>
      <c r="F1594" s="631" t="s">
        <v>2459</v>
      </c>
      <c r="G1594" s="661">
        <v>210</v>
      </c>
      <c r="H1594" s="633">
        <v>2216</v>
      </c>
      <c r="I1594" s="618"/>
      <c r="J1594" s="619" t="s">
        <v>2265</v>
      </c>
      <c r="K1594" s="618"/>
      <c r="L1594" s="619">
        <v>89</v>
      </c>
      <c r="M1594" s="620">
        <v>84</v>
      </c>
      <c r="N1594" s="619"/>
      <c r="O1594" s="619">
        <v>14</v>
      </c>
      <c r="P1594" s="619" t="s">
        <v>760</v>
      </c>
      <c r="Q1594" s="662" t="s">
        <v>1002</v>
      </c>
      <c r="R1594" s="618"/>
      <c r="S1594" s="621" t="s">
        <v>2439</v>
      </c>
      <c r="T1594" s="619" t="s">
        <v>1064</v>
      </c>
    </row>
    <row r="1595" spans="1:20">
      <c r="A1595" s="630">
        <v>2202216</v>
      </c>
      <c r="B1595" s="628"/>
      <c r="C1595" s="623"/>
      <c r="D1595" s="623"/>
      <c r="E1595" s="627" t="s">
        <v>2267</v>
      </c>
      <c r="F1595" s="631" t="s">
        <v>2460</v>
      </c>
      <c r="G1595" s="661">
        <v>220</v>
      </c>
      <c r="H1595" s="633">
        <v>2216</v>
      </c>
      <c r="I1595" s="618"/>
      <c r="J1595" s="619" t="s">
        <v>2267</v>
      </c>
      <c r="K1595" s="618"/>
      <c r="L1595" s="619">
        <v>90</v>
      </c>
      <c r="M1595" s="620">
        <v>85</v>
      </c>
      <c r="N1595" s="619"/>
      <c r="O1595" s="619">
        <v>14</v>
      </c>
      <c r="P1595" s="619" t="s">
        <v>760</v>
      </c>
      <c r="Q1595" s="662" t="s">
        <v>1002</v>
      </c>
      <c r="R1595" s="618"/>
      <c r="S1595" s="621" t="s">
        <v>2439</v>
      </c>
      <c r="T1595" s="619" t="s">
        <v>1066</v>
      </c>
    </row>
    <row r="1596" spans="1:20">
      <c r="A1596" s="630">
        <v>2252216</v>
      </c>
      <c r="B1596" s="628"/>
      <c r="C1596" s="623"/>
      <c r="D1596" s="623"/>
      <c r="E1596" s="627" t="s">
        <v>2269</v>
      </c>
      <c r="F1596" s="631" t="s">
        <v>2461</v>
      </c>
      <c r="G1596" s="661">
        <v>225</v>
      </c>
      <c r="H1596" s="633">
        <v>2216</v>
      </c>
      <c r="I1596" s="618"/>
      <c r="J1596" s="619" t="s">
        <v>2269</v>
      </c>
      <c r="K1596" s="618"/>
      <c r="L1596" s="619">
        <v>91</v>
      </c>
      <c r="M1596" s="620">
        <v>86</v>
      </c>
      <c r="N1596" s="619"/>
      <c r="O1596" s="619">
        <v>14</v>
      </c>
      <c r="P1596" s="619" t="s">
        <v>760</v>
      </c>
      <c r="Q1596" s="662" t="s">
        <v>1002</v>
      </c>
      <c r="R1596" s="618"/>
      <c r="S1596" s="621" t="s">
        <v>2439</v>
      </c>
      <c r="T1596" s="619" t="s">
        <v>23</v>
      </c>
    </row>
    <row r="1597" spans="1:20">
      <c r="A1597" s="622"/>
      <c r="B1597" s="628"/>
      <c r="C1597" s="623"/>
      <c r="D1597" s="623"/>
      <c r="E1597" s="627" t="s">
        <v>2271</v>
      </c>
      <c r="F1597" s="626"/>
      <c r="G1597" s="623"/>
      <c r="H1597" s="627"/>
      <c r="I1597" s="618"/>
      <c r="J1597" s="618"/>
      <c r="K1597" s="618"/>
      <c r="L1597" s="618"/>
      <c r="M1597" s="618"/>
      <c r="N1597" s="618"/>
      <c r="O1597" s="618"/>
      <c r="P1597" s="618"/>
      <c r="Q1597" s="662"/>
      <c r="R1597" s="618"/>
      <c r="S1597" s="621"/>
      <c r="T1597" s="618"/>
    </row>
    <row r="1598" spans="1:20">
      <c r="A1598" s="630">
        <v>2312216</v>
      </c>
      <c r="B1598" s="628"/>
      <c r="C1598" s="623"/>
      <c r="D1598" s="623"/>
      <c r="E1598" s="627" t="s">
        <v>2272</v>
      </c>
      <c r="F1598" s="631" t="s">
        <v>2462</v>
      </c>
      <c r="G1598" s="661">
        <v>231</v>
      </c>
      <c r="H1598" s="633">
        <v>2216</v>
      </c>
      <c r="I1598" s="618"/>
      <c r="J1598" s="619" t="s">
        <v>2272</v>
      </c>
      <c r="K1598" s="618"/>
      <c r="L1598" s="619">
        <v>92</v>
      </c>
      <c r="M1598" s="620">
        <v>87</v>
      </c>
      <c r="N1598" s="619"/>
      <c r="O1598" s="619">
        <v>14</v>
      </c>
      <c r="P1598" s="619" t="s">
        <v>760</v>
      </c>
      <c r="Q1598" s="662" t="s">
        <v>1002</v>
      </c>
      <c r="R1598" s="618"/>
      <c r="S1598" s="621" t="s">
        <v>2439</v>
      </c>
      <c r="T1598" s="619" t="s">
        <v>1072</v>
      </c>
    </row>
    <row r="1599" spans="1:20">
      <c r="A1599" s="630">
        <v>2332216</v>
      </c>
      <c r="B1599" s="628"/>
      <c r="C1599" s="623"/>
      <c r="D1599" s="623"/>
      <c r="E1599" s="627" t="s">
        <v>2274</v>
      </c>
      <c r="F1599" s="631" t="s">
        <v>2463</v>
      </c>
      <c r="G1599" s="661">
        <v>233</v>
      </c>
      <c r="H1599" s="633">
        <v>2216</v>
      </c>
      <c r="I1599" s="618"/>
      <c r="J1599" s="619" t="s">
        <v>2274</v>
      </c>
      <c r="K1599" s="618"/>
      <c r="L1599" s="619">
        <v>92</v>
      </c>
      <c r="M1599" s="620">
        <v>87</v>
      </c>
      <c r="N1599" s="619"/>
      <c r="O1599" s="619">
        <v>14</v>
      </c>
      <c r="P1599" s="619" t="s">
        <v>760</v>
      </c>
      <c r="Q1599" s="662" t="s">
        <v>1002</v>
      </c>
      <c r="R1599" s="618"/>
      <c r="S1599" s="621" t="s">
        <v>2439</v>
      </c>
      <c r="T1599" s="619" t="s">
        <v>2276</v>
      </c>
    </row>
    <row r="1600" spans="1:20">
      <c r="A1600" s="630">
        <v>2392216</v>
      </c>
      <c r="B1600" s="628"/>
      <c r="C1600" s="623"/>
      <c r="D1600" s="623"/>
      <c r="E1600" s="627" t="s">
        <v>2277</v>
      </c>
      <c r="F1600" s="631" t="s">
        <v>2464</v>
      </c>
      <c r="G1600" s="661">
        <v>239</v>
      </c>
      <c r="H1600" s="633">
        <v>2216</v>
      </c>
      <c r="I1600" s="618"/>
      <c r="J1600" s="619" t="s">
        <v>2277</v>
      </c>
      <c r="K1600" s="618"/>
      <c r="L1600" s="619">
        <v>92</v>
      </c>
      <c r="M1600" s="620">
        <v>87</v>
      </c>
      <c r="N1600" s="619"/>
      <c r="O1600" s="619">
        <v>14</v>
      </c>
      <c r="P1600" s="619" t="s">
        <v>760</v>
      </c>
      <c r="Q1600" s="662" t="s">
        <v>1002</v>
      </c>
      <c r="R1600" s="618"/>
      <c r="S1600" s="621" t="s">
        <v>2439</v>
      </c>
      <c r="T1600" s="619" t="s">
        <v>1078</v>
      </c>
    </row>
    <row r="1601" spans="1:20">
      <c r="A1601" s="630">
        <v>2502216</v>
      </c>
      <c r="B1601" s="628"/>
      <c r="C1601" s="623"/>
      <c r="D1601" s="623"/>
      <c r="E1601" s="627" t="s">
        <v>2279</v>
      </c>
      <c r="F1601" s="631" t="s">
        <v>2465</v>
      </c>
      <c r="G1601" s="661">
        <v>250</v>
      </c>
      <c r="H1601" s="633">
        <v>2216</v>
      </c>
      <c r="I1601" s="618"/>
      <c r="J1601" s="619" t="s">
        <v>2279</v>
      </c>
      <c r="K1601" s="618"/>
      <c r="L1601" s="619">
        <v>93</v>
      </c>
      <c r="M1601" s="620">
        <v>88</v>
      </c>
      <c r="N1601" s="619"/>
      <c r="O1601" s="619">
        <v>14</v>
      </c>
      <c r="P1601" s="619" t="s">
        <v>760</v>
      </c>
      <c r="Q1601" s="662" t="s">
        <v>1002</v>
      </c>
      <c r="R1601" s="618"/>
      <c r="S1601" s="621" t="s">
        <v>2439</v>
      </c>
      <c r="T1601" s="619" t="s">
        <v>1079</v>
      </c>
    </row>
    <row r="1602" spans="1:20">
      <c r="A1602" s="630">
        <v>2602216</v>
      </c>
      <c r="B1602" s="628"/>
      <c r="C1602" s="623"/>
      <c r="D1602" s="623"/>
      <c r="E1602" s="627" t="s">
        <v>2281</v>
      </c>
      <c r="F1602" s="631" t="s">
        <v>2466</v>
      </c>
      <c r="G1602" s="661">
        <v>260</v>
      </c>
      <c r="H1602" s="633">
        <v>2216</v>
      </c>
      <c r="I1602" s="618"/>
      <c r="J1602" s="619" t="s">
        <v>2281</v>
      </c>
      <c r="K1602" s="618"/>
      <c r="L1602" s="619">
        <v>95</v>
      </c>
      <c r="M1602" s="620">
        <v>90</v>
      </c>
      <c r="N1602" s="619"/>
      <c r="O1602" s="619">
        <v>14</v>
      </c>
      <c r="P1602" s="619" t="s">
        <v>760</v>
      </c>
      <c r="Q1602" s="662" t="s">
        <v>1002</v>
      </c>
      <c r="R1602" s="618"/>
      <c r="S1602" s="621" t="s">
        <v>2439</v>
      </c>
      <c r="T1602" s="619" t="s">
        <v>1081</v>
      </c>
    </row>
    <row r="1603" spans="1:20">
      <c r="A1603" s="630">
        <v>2702216</v>
      </c>
      <c r="B1603" s="628"/>
      <c r="C1603" s="623"/>
      <c r="D1603" s="623"/>
      <c r="E1603" s="627" t="s">
        <v>2283</v>
      </c>
      <c r="F1603" s="631" t="s">
        <v>2467</v>
      </c>
      <c r="G1603" s="661">
        <v>270</v>
      </c>
      <c r="H1603" s="633">
        <v>2216</v>
      </c>
      <c r="I1603" s="618"/>
      <c r="J1603" s="619" t="s">
        <v>2283</v>
      </c>
      <c r="K1603" s="618"/>
      <c r="L1603" s="619">
        <v>94</v>
      </c>
      <c r="M1603" s="620">
        <v>89</v>
      </c>
      <c r="N1603" s="619"/>
      <c r="O1603" s="619">
        <v>14</v>
      </c>
      <c r="P1603" s="619" t="s">
        <v>760</v>
      </c>
      <c r="Q1603" s="662" t="s">
        <v>1002</v>
      </c>
      <c r="R1603" s="618"/>
      <c r="S1603" s="621" t="s">
        <v>2439</v>
      </c>
      <c r="T1603" s="619" t="s">
        <v>1083</v>
      </c>
    </row>
    <row r="1604" spans="1:20">
      <c r="A1604" s="630">
        <v>2812216</v>
      </c>
      <c r="B1604" s="628"/>
      <c r="C1604" s="623"/>
      <c r="D1604" s="623"/>
      <c r="E1604" s="627" t="s">
        <v>2285</v>
      </c>
      <c r="F1604" s="631" t="s">
        <v>2468</v>
      </c>
      <c r="G1604" s="661">
        <v>281</v>
      </c>
      <c r="H1604" s="633">
        <v>2216</v>
      </c>
      <c r="I1604" s="618"/>
      <c r="J1604" s="619" t="s">
        <v>2285</v>
      </c>
      <c r="K1604" s="618"/>
      <c r="L1604" s="619">
        <v>95</v>
      </c>
      <c r="M1604" s="620">
        <v>90</v>
      </c>
      <c r="N1604" s="619"/>
      <c r="O1604" s="619">
        <v>14</v>
      </c>
      <c r="P1604" s="619" t="s">
        <v>760</v>
      </c>
      <c r="Q1604" s="662" t="s">
        <v>1002</v>
      </c>
      <c r="R1604" s="618"/>
      <c r="S1604" s="621" t="s">
        <v>2439</v>
      </c>
      <c r="T1604" s="619" t="s">
        <v>1085</v>
      </c>
    </row>
    <row r="1605" spans="1:20">
      <c r="A1605" s="630">
        <v>2822216</v>
      </c>
      <c r="B1605" s="628"/>
      <c r="C1605" s="623"/>
      <c r="D1605" s="623"/>
      <c r="E1605" s="627" t="s">
        <v>2287</v>
      </c>
      <c r="F1605" s="631" t="s">
        <v>2469</v>
      </c>
      <c r="G1605" s="661">
        <v>282</v>
      </c>
      <c r="H1605" s="633">
        <v>2216</v>
      </c>
      <c r="I1605" s="618"/>
      <c r="J1605" s="619" t="s">
        <v>2287</v>
      </c>
      <c r="K1605" s="618"/>
      <c r="L1605" s="619">
        <v>95</v>
      </c>
      <c r="M1605" s="620">
        <v>90</v>
      </c>
      <c r="N1605" s="619"/>
      <c r="O1605" s="619">
        <v>14</v>
      </c>
      <c r="P1605" s="619" t="s">
        <v>760</v>
      </c>
      <c r="Q1605" s="662" t="s">
        <v>1002</v>
      </c>
      <c r="R1605" s="618"/>
      <c r="S1605" s="621" t="s">
        <v>2439</v>
      </c>
      <c r="T1605" s="619" t="s">
        <v>1087</v>
      </c>
    </row>
    <row r="1606" spans="1:20">
      <c r="A1606" s="630">
        <v>2902216</v>
      </c>
      <c r="B1606" s="628"/>
      <c r="C1606" s="623"/>
      <c r="D1606" s="623"/>
      <c r="E1606" s="627" t="s">
        <v>2289</v>
      </c>
      <c r="F1606" s="631" t="s">
        <v>2470</v>
      </c>
      <c r="G1606" s="661">
        <v>290</v>
      </c>
      <c r="H1606" s="633">
        <v>2216</v>
      </c>
      <c r="I1606" s="618"/>
      <c r="J1606" s="619" t="s">
        <v>2289</v>
      </c>
      <c r="K1606" s="618"/>
      <c r="L1606" s="619">
        <v>95</v>
      </c>
      <c r="M1606" s="620">
        <v>90</v>
      </c>
      <c r="N1606" s="619"/>
      <c r="O1606" s="619">
        <v>14</v>
      </c>
      <c r="P1606" s="619" t="s">
        <v>760</v>
      </c>
      <c r="Q1606" s="662" t="s">
        <v>1002</v>
      </c>
      <c r="R1606" s="618"/>
      <c r="S1606" s="621" t="s">
        <v>2439</v>
      </c>
      <c r="T1606" s="619" t="s">
        <v>1090</v>
      </c>
    </row>
    <row r="1607" spans="1:20">
      <c r="A1607" s="622"/>
      <c r="B1607" s="628"/>
      <c r="C1607" s="623"/>
      <c r="D1607" s="623" t="s">
        <v>854</v>
      </c>
      <c r="E1607" s="626" t="s">
        <v>2471</v>
      </c>
      <c r="F1607" s="626"/>
      <c r="G1607" s="623"/>
      <c r="H1607" s="627"/>
      <c r="I1607" s="618"/>
      <c r="J1607" s="618"/>
      <c r="K1607" s="618"/>
      <c r="L1607" s="618"/>
      <c r="M1607" s="618"/>
      <c r="N1607" s="618"/>
      <c r="O1607" s="618"/>
      <c r="P1607" s="618"/>
      <c r="Q1607" s="662"/>
      <c r="R1607" s="618"/>
      <c r="S1607" s="621"/>
      <c r="T1607" s="618"/>
    </row>
    <row r="1608" spans="1:20">
      <c r="A1608" s="622"/>
      <c r="B1608" s="628"/>
      <c r="C1608" s="623"/>
      <c r="D1608" s="623"/>
      <c r="E1608" s="627" t="s">
        <v>2472</v>
      </c>
      <c r="F1608" s="626"/>
      <c r="G1608" s="623"/>
      <c r="H1608" s="627"/>
      <c r="I1608" s="618"/>
      <c r="J1608" s="618"/>
      <c r="K1608" s="618"/>
      <c r="L1608" s="618"/>
      <c r="M1608" s="618"/>
      <c r="N1608" s="618"/>
      <c r="O1608" s="618"/>
      <c r="P1608" s="618"/>
      <c r="Q1608" s="662"/>
      <c r="R1608" s="618"/>
      <c r="S1608" s="621"/>
      <c r="T1608" s="618"/>
    </row>
    <row r="1609" spans="1:20">
      <c r="A1609" s="630">
        <v>1112219</v>
      </c>
      <c r="B1609" s="628"/>
      <c r="C1609" s="623"/>
      <c r="D1609" s="623"/>
      <c r="E1609" s="627" t="s">
        <v>2473</v>
      </c>
      <c r="F1609" s="631" t="s">
        <v>2474</v>
      </c>
      <c r="G1609" s="661">
        <v>111</v>
      </c>
      <c r="H1609" s="633">
        <v>2219</v>
      </c>
      <c r="I1609" s="618"/>
      <c r="J1609" s="619" t="s">
        <v>2473</v>
      </c>
      <c r="K1609" s="618"/>
      <c r="L1609" s="619">
        <v>81</v>
      </c>
      <c r="M1609" s="620">
        <v>76</v>
      </c>
      <c r="N1609" s="619"/>
      <c r="O1609" s="619">
        <v>14</v>
      </c>
      <c r="P1609" s="619" t="s">
        <v>760</v>
      </c>
      <c r="Q1609" s="662" t="s">
        <v>1002</v>
      </c>
      <c r="R1609" s="618"/>
      <c r="S1609" s="621" t="s">
        <v>2475</v>
      </c>
      <c r="T1609" s="619" t="s">
        <v>2476</v>
      </c>
    </row>
    <row r="1610" spans="1:20">
      <c r="A1610" s="630">
        <v>1132219</v>
      </c>
      <c r="B1610" s="628"/>
      <c r="C1610" s="623"/>
      <c r="D1610" s="623"/>
      <c r="E1610" s="627" t="s">
        <v>2218</v>
      </c>
      <c r="F1610" s="631" t="s">
        <v>2477</v>
      </c>
      <c r="G1610" s="661">
        <v>113</v>
      </c>
      <c r="H1610" s="633">
        <v>2219</v>
      </c>
      <c r="I1610" s="618"/>
      <c r="J1610" s="619" t="s">
        <v>2218</v>
      </c>
      <c r="K1610" s="618"/>
      <c r="L1610" s="619">
        <v>83</v>
      </c>
      <c r="M1610" s="620">
        <v>78</v>
      </c>
      <c r="N1610" s="619"/>
      <c r="O1610" s="619">
        <v>14</v>
      </c>
      <c r="P1610" s="619" t="s">
        <v>760</v>
      </c>
      <c r="Q1610" s="662" t="s">
        <v>1002</v>
      </c>
      <c r="R1610" s="618"/>
      <c r="S1610" s="621" t="s">
        <v>2475</v>
      </c>
      <c r="T1610" s="619" t="s">
        <v>2220</v>
      </c>
    </row>
    <row r="1611" spans="1:20">
      <c r="A1611" s="630">
        <v>1142219</v>
      </c>
      <c r="B1611" s="628"/>
      <c r="C1611" s="623"/>
      <c r="D1611" s="623"/>
      <c r="E1611" s="627" t="s">
        <v>2221</v>
      </c>
      <c r="F1611" s="631" t="s">
        <v>2478</v>
      </c>
      <c r="G1611" s="661">
        <v>114</v>
      </c>
      <c r="H1611" s="633">
        <v>2219</v>
      </c>
      <c r="I1611" s="618"/>
      <c r="J1611" s="619" t="s">
        <v>2221</v>
      </c>
      <c r="K1611" s="618"/>
      <c r="L1611" s="619">
        <v>84</v>
      </c>
      <c r="M1611" s="620">
        <v>79</v>
      </c>
      <c r="N1611" s="619"/>
      <c r="O1611" s="619">
        <v>14</v>
      </c>
      <c r="P1611" s="619" t="s">
        <v>760</v>
      </c>
      <c r="Q1611" s="662" t="s">
        <v>1002</v>
      </c>
      <c r="R1611" s="618"/>
      <c r="S1611" s="621" t="s">
        <v>2475</v>
      </c>
      <c r="T1611" s="619" t="s">
        <v>1853</v>
      </c>
    </row>
    <row r="1612" spans="1:20">
      <c r="A1612" s="630">
        <v>1002219</v>
      </c>
      <c r="B1612" s="628"/>
      <c r="C1612" s="623"/>
      <c r="D1612" s="623"/>
      <c r="E1612" s="627" t="s">
        <v>2223</v>
      </c>
      <c r="F1612" s="631" t="s">
        <v>2479</v>
      </c>
      <c r="G1612" s="661">
        <v>100</v>
      </c>
      <c r="H1612" s="633">
        <v>2219</v>
      </c>
      <c r="I1612" s="618"/>
      <c r="J1612" s="619" t="s">
        <v>2223</v>
      </c>
      <c r="K1612" s="618"/>
      <c r="L1612" s="619">
        <v>86</v>
      </c>
      <c r="M1612" s="620">
        <v>81</v>
      </c>
      <c r="N1612" s="619"/>
      <c r="O1612" s="619">
        <v>14</v>
      </c>
      <c r="P1612" s="619" t="s">
        <v>760</v>
      </c>
      <c r="Q1612" s="662" t="s">
        <v>1002</v>
      </c>
      <c r="R1612" s="618"/>
      <c r="S1612" s="621" t="s">
        <v>2475</v>
      </c>
      <c r="T1612" s="619" t="s">
        <v>1946</v>
      </c>
    </row>
    <row r="1613" spans="1:20">
      <c r="A1613" s="630">
        <v>1402219</v>
      </c>
      <c r="B1613" s="628"/>
      <c r="C1613" s="623"/>
      <c r="D1613" s="623"/>
      <c r="E1613" s="627" t="s">
        <v>2225</v>
      </c>
      <c r="F1613" s="631" t="s">
        <v>2480</v>
      </c>
      <c r="G1613" s="661">
        <v>140</v>
      </c>
      <c r="H1613" s="633">
        <v>2219</v>
      </c>
      <c r="I1613" s="618"/>
      <c r="J1613" s="619" t="s">
        <v>2225</v>
      </c>
      <c r="K1613" s="618"/>
      <c r="L1613" s="619">
        <v>86</v>
      </c>
      <c r="M1613" s="620">
        <v>81</v>
      </c>
      <c r="N1613" s="619"/>
      <c r="O1613" s="619">
        <v>14</v>
      </c>
      <c r="P1613" s="619" t="s">
        <v>760</v>
      </c>
      <c r="Q1613" s="662" t="s">
        <v>1002</v>
      </c>
      <c r="R1613" s="618"/>
      <c r="S1613" s="621" t="s">
        <v>2475</v>
      </c>
      <c r="T1613" s="619" t="s">
        <v>1017</v>
      </c>
    </row>
    <row r="1614" spans="1:20">
      <c r="A1614" s="630">
        <v>3002219</v>
      </c>
      <c r="B1614" s="628"/>
      <c r="C1614" s="623"/>
      <c r="D1614" s="623"/>
      <c r="E1614" s="627" t="s">
        <v>2227</v>
      </c>
      <c r="F1614" s="631" t="s">
        <v>2481</v>
      </c>
      <c r="G1614" s="661">
        <v>300</v>
      </c>
      <c r="H1614" s="633">
        <v>2219</v>
      </c>
      <c r="I1614" s="618"/>
      <c r="J1614" s="619" t="s">
        <v>2227</v>
      </c>
      <c r="K1614" s="618"/>
      <c r="L1614" s="619">
        <v>101</v>
      </c>
      <c r="M1614" s="620">
        <v>96</v>
      </c>
      <c r="N1614" s="619"/>
      <c r="O1614" s="619">
        <v>14</v>
      </c>
      <c r="P1614" s="619" t="s">
        <v>760</v>
      </c>
      <c r="Q1614" s="662"/>
      <c r="R1614" s="618"/>
      <c r="S1614" s="621" t="s">
        <v>2475</v>
      </c>
      <c r="T1614" s="619" t="s">
        <v>2229</v>
      </c>
    </row>
    <row r="1615" spans="1:20">
      <c r="A1615" s="622"/>
      <c r="B1615" s="628"/>
      <c r="C1615" s="623"/>
      <c r="D1615" s="623"/>
      <c r="E1615" s="627" t="s">
        <v>2230</v>
      </c>
      <c r="F1615" s="626"/>
      <c r="G1615" s="623"/>
      <c r="H1615" s="627"/>
      <c r="I1615" s="618"/>
      <c r="J1615" s="618"/>
      <c r="K1615" s="618"/>
      <c r="L1615" s="618"/>
      <c r="M1615" s="618"/>
      <c r="N1615" s="618"/>
      <c r="O1615" s="618"/>
      <c r="P1615" s="618"/>
      <c r="Q1615" s="662"/>
      <c r="R1615" s="618"/>
      <c r="S1615" s="621"/>
      <c r="T1615" s="618"/>
    </row>
    <row r="1616" spans="1:20">
      <c r="A1616" s="630">
        <v>4302219</v>
      </c>
      <c r="B1616" s="628"/>
      <c r="C1616" s="623"/>
      <c r="D1616" s="623"/>
      <c r="E1616" s="627" t="s">
        <v>2231</v>
      </c>
      <c r="F1616" s="631" t="s">
        <v>2482</v>
      </c>
      <c r="G1616" s="661">
        <v>430</v>
      </c>
      <c r="H1616" s="633">
        <v>2219</v>
      </c>
      <c r="I1616" s="618"/>
      <c r="J1616" s="619" t="s">
        <v>2231</v>
      </c>
      <c r="K1616" s="618"/>
      <c r="L1616" s="619">
        <v>107</v>
      </c>
      <c r="M1616" s="620">
        <v>102</v>
      </c>
      <c r="N1616" s="619"/>
      <c r="O1616" s="619">
        <v>14</v>
      </c>
      <c r="P1616" s="619" t="s">
        <v>760</v>
      </c>
      <c r="Q1616" s="662"/>
      <c r="R1616" s="618"/>
      <c r="S1616" s="621" t="s">
        <v>2475</v>
      </c>
      <c r="T1616" s="619" t="s">
        <v>1021</v>
      </c>
    </row>
    <row r="1617" spans="1:20">
      <c r="A1617" s="630">
        <v>4422219</v>
      </c>
      <c r="B1617" s="628"/>
      <c r="C1617" s="623"/>
      <c r="D1617" s="623"/>
      <c r="E1617" s="627" t="s">
        <v>2233</v>
      </c>
      <c r="F1617" s="631" t="s">
        <v>2483</v>
      </c>
      <c r="G1617" s="661">
        <v>442</v>
      </c>
      <c r="H1617" s="633">
        <v>2219</v>
      </c>
      <c r="I1617" s="618"/>
      <c r="J1617" s="619" t="s">
        <v>2233</v>
      </c>
      <c r="K1617" s="618"/>
      <c r="L1617" s="619">
        <v>106</v>
      </c>
      <c r="M1617" s="620">
        <v>101</v>
      </c>
      <c r="N1617" s="619"/>
      <c r="O1617" s="619">
        <v>14</v>
      </c>
      <c r="P1617" s="619" t="s">
        <v>760</v>
      </c>
      <c r="Q1617" s="662"/>
      <c r="R1617" s="618"/>
      <c r="S1617" s="621" t="s">
        <v>2475</v>
      </c>
      <c r="T1617" s="619" t="s">
        <v>1023</v>
      </c>
    </row>
    <row r="1618" spans="1:20">
      <c r="A1618" s="630">
        <v>4002219</v>
      </c>
      <c r="B1618" s="628"/>
      <c r="C1618" s="623"/>
      <c r="D1618" s="623"/>
      <c r="E1618" s="627" t="s">
        <v>2235</v>
      </c>
      <c r="F1618" s="631" t="s">
        <v>2484</v>
      </c>
      <c r="G1618" s="661">
        <v>400</v>
      </c>
      <c r="H1618" s="633">
        <v>2219</v>
      </c>
      <c r="I1618" s="618"/>
      <c r="J1618" s="619" t="s">
        <v>2235</v>
      </c>
      <c r="K1618" s="618"/>
      <c r="L1618" s="619">
        <v>108</v>
      </c>
      <c r="M1618" s="620">
        <v>103</v>
      </c>
      <c r="N1618" s="619"/>
      <c r="O1618" s="619">
        <v>14</v>
      </c>
      <c r="P1618" s="619" t="s">
        <v>760</v>
      </c>
      <c r="Q1618" s="662"/>
      <c r="R1618" s="618"/>
      <c r="S1618" s="621" t="s">
        <v>2475</v>
      </c>
      <c r="T1618" s="619" t="s">
        <v>2237</v>
      </c>
    </row>
    <row r="1619" spans="1:20">
      <c r="A1619" s="622"/>
      <c r="B1619" s="628"/>
      <c r="C1619" s="623"/>
      <c r="D1619" s="623"/>
      <c r="E1619" s="627" t="s">
        <v>1394</v>
      </c>
      <c r="F1619" s="626"/>
      <c r="G1619" s="623"/>
      <c r="H1619" s="627"/>
      <c r="I1619" s="618"/>
      <c r="J1619" s="618"/>
      <c r="K1619" s="618"/>
      <c r="L1619" s="618"/>
      <c r="M1619" s="618"/>
      <c r="N1619" s="618"/>
      <c r="O1619" s="618"/>
      <c r="P1619" s="618"/>
      <c r="Q1619" s="662"/>
      <c r="R1619" s="618"/>
      <c r="S1619" s="621"/>
      <c r="T1619" s="618"/>
    </row>
    <row r="1620" spans="1:20">
      <c r="A1620" s="630">
        <v>5822219</v>
      </c>
      <c r="B1620" s="628"/>
      <c r="C1620" s="623"/>
      <c r="D1620" s="623"/>
      <c r="E1620" s="627" t="s">
        <v>2238</v>
      </c>
      <c r="F1620" s="631" t="s">
        <v>2485</v>
      </c>
      <c r="G1620" s="661">
        <v>582</v>
      </c>
      <c r="H1620" s="633">
        <v>2219</v>
      </c>
      <c r="I1620" s="618"/>
      <c r="J1620" s="619" t="s">
        <v>2238</v>
      </c>
      <c r="K1620" s="618"/>
      <c r="L1620" s="619">
        <v>118</v>
      </c>
      <c r="M1620" s="620">
        <v>109</v>
      </c>
      <c r="N1620" s="619"/>
      <c r="O1620" s="619">
        <v>14</v>
      </c>
      <c r="P1620" s="619" t="s">
        <v>760</v>
      </c>
      <c r="Q1620" s="662"/>
      <c r="R1620" s="618"/>
      <c r="S1620" s="621" t="s">
        <v>2475</v>
      </c>
      <c r="T1620" s="619" t="s">
        <v>1037</v>
      </c>
    </row>
    <row r="1621" spans="1:20">
      <c r="A1621" s="630">
        <v>5002219</v>
      </c>
      <c r="B1621" s="628"/>
      <c r="C1621" s="623"/>
      <c r="D1621" s="623"/>
      <c r="E1621" s="627" t="s">
        <v>2240</v>
      </c>
      <c r="F1621" s="631" t="s">
        <v>2486</v>
      </c>
      <c r="G1621" s="661">
        <v>500</v>
      </c>
      <c r="H1621" s="633">
        <v>2219</v>
      </c>
      <c r="I1621" s="618"/>
      <c r="J1621" s="619" t="s">
        <v>2240</v>
      </c>
      <c r="K1621" s="618"/>
      <c r="L1621" s="619">
        <v>119</v>
      </c>
      <c r="M1621" s="620">
        <v>110</v>
      </c>
      <c r="N1621" s="619"/>
      <c r="O1621" s="619">
        <v>14</v>
      </c>
      <c r="P1621" s="619" t="s">
        <v>760</v>
      </c>
      <c r="Q1621" s="662"/>
      <c r="R1621" s="618"/>
      <c r="S1621" s="621" t="s">
        <v>2475</v>
      </c>
      <c r="T1621" s="619" t="s">
        <v>252</v>
      </c>
    </row>
    <row r="1622" spans="1:20">
      <c r="A1622" s="622"/>
      <c r="B1622" s="628"/>
      <c r="C1622" s="623"/>
      <c r="D1622" s="623"/>
      <c r="E1622" s="627" t="s">
        <v>2242</v>
      </c>
      <c r="F1622" s="626"/>
      <c r="G1622" s="623"/>
      <c r="H1622" s="627"/>
      <c r="I1622" s="618"/>
      <c r="J1622" s="618"/>
      <c r="K1622" s="618"/>
      <c r="L1622" s="618"/>
      <c r="M1622" s="618"/>
      <c r="N1622" s="618"/>
      <c r="O1622" s="618"/>
      <c r="P1622" s="618"/>
      <c r="Q1622" s="662"/>
      <c r="R1622" s="618"/>
      <c r="S1622" s="621"/>
      <c r="T1622" s="618"/>
    </row>
    <row r="1623" spans="1:20">
      <c r="A1623" s="630">
        <v>6152219</v>
      </c>
      <c r="B1623" s="628"/>
      <c r="C1623" s="623"/>
      <c r="D1623" s="623"/>
      <c r="E1623" s="627" t="s">
        <v>2243</v>
      </c>
      <c r="F1623" s="631" t="s">
        <v>2487</v>
      </c>
      <c r="G1623" s="661">
        <v>615</v>
      </c>
      <c r="H1623" s="633">
        <v>2219</v>
      </c>
      <c r="I1623" s="618"/>
      <c r="J1623" s="619" t="s">
        <v>2243</v>
      </c>
      <c r="K1623" s="618"/>
      <c r="L1623" s="619">
        <v>126</v>
      </c>
      <c r="M1623" s="620">
        <v>117</v>
      </c>
      <c r="N1623" s="619"/>
      <c r="O1623" s="619">
        <v>14</v>
      </c>
      <c r="P1623" s="619" t="s">
        <v>760</v>
      </c>
      <c r="Q1623" s="662" t="s">
        <v>1043</v>
      </c>
      <c r="R1623" s="618"/>
      <c r="S1623" s="621" t="s">
        <v>2475</v>
      </c>
      <c r="T1623" s="619" t="s">
        <v>1041</v>
      </c>
    </row>
    <row r="1624" spans="1:20">
      <c r="A1624" s="630">
        <v>6102219</v>
      </c>
      <c r="B1624" s="628"/>
      <c r="C1624" s="623"/>
      <c r="D1624" s="623"/>
      <c r="E1624" s="627" t="s">
        <v>2245</v>
      </c>
      <c r="F1624" s="631" t="s">
        <v>2488</v>
      </c>
      <c r="G1624" s="661">
        <v>610</v>
      </c>
      <c r="H1624" s="633">
        <v>2219</v>
      </c>
      <c r="I1624" s="618"/>
      <c r="J1624" s="619" t="s">
        <v>2245</v>
      </c>
      <c r="K1624" s="618"/>
      <c r="L1624" s="619">
        <v>122</v>
      </c>
      <c r="M1624" s="620">
        <v>113</v>
      </c>
      <c r="N1624" s="619"/>
      <c r="O1624" s="619">
        <v>14</v>
      </c>
      <c r="P1624" s="619" t="s">
        <v>760</v>
      </c>
      <c r="Q1624" s="662" t="s">
        <v>1043</v>
      </c>
      <c r="R1624" s="618"/>
      <c r="S1624" s="621" t="s">
        <v>2475</v>
      </c>
      <c r="T1624" s="619" t="s">
        <v>39</v>
      </c>
    </row>
    <row r="1625" spans="1:20">
      <c r="A1625" s="630">
        <v>6002219</v>
      </c>
      <c r="B1625" s="628"/>
      <c r="C1625" s="623"/>
      <c r="D1625" s="623"/>
      <c r="E1625" s="627" t="s">
        <v>2247</v>
      </c>
      <c r="F1625" s="631" t="s">
        <v>2489</v>
      </c>
      <c r="G1625" s="661">
        <v>600</v>
      </c>
      <c r="H1625" s="633">
        <v>2219</v>
      </c>
      <c r="I1625" s="618"/>
      <c r="J1625" s="619" t="s">
        <v>2247</v>
      </c>
      <c r="K1625" s="618"/>
      <c r="L1625" s="619">
        <v>126</v>
      </c>
      <c r="M1625" s="620">
        <v>117</v>
      </c>
      <c r="N1625" s="619"/>
      <c r="O1625" s="619">
        <v>14</v>
      </c>
      <c r="P1625" s="619" t="s">
        <v>760</v>
      </c>
      <c r="Q1625" s="662"/>
      <c r="R1625" s="618"/>
      <c r="S1625" s="621" t="s">
        <v>2475</v>
      </c>
      <c r="T1625" s="619" t="s">
        <v>1048</v>
      </c>
    </row>
    <row r="1626" spans="1:20">
      <c r="A1626" s="622"/>
      <c r="B1626" s="628"/>
      <c r="C1626" s="623"/>
      <c r="D1626" s="623"/>
      <c r="E1626" s="627" t="s">
        <v>2249</v>
      </c>
      <c r="F1626" s="626"/>
      <c r="G1626" s="623"/>
      <c r="H1626" s="627"/>
      <c r="I1626" s="618"/>
      <c r="J1626" s="618"/>
      <c r="K1626" s="618"/>
      <c r="L1626" s="618"/>
      <c r="M1626" s="618"/>
      <c r="N1626" s="618"/>
      <c r="O1626" s="618"/>
      <c r="P1626" s="618"/>
      <c r="Q1626" s="662"/>
      <c r="R1626" s="618"/>
      <c r="S1626" s="621"/>
      <c r="T1626" s="618"/>
    </row>
    <row r="1627" spans="1:20">
      <c r="A1627" s="630">
        <v>7342219</v>
      </c>
      <c r="B1627" s="628"/>
      <c r="C1627" s="623"/>
      <c r="D1627" s="623"/>
      <c r="E1627" s="627" t="s">
        <v>2250</v>
      </c>
      <c r="F1627" s="631" t="s">
        <v>2490</v>
      </c>
      <c r="G1627" s="661">
        <v>734</v>
      </c>
      <c r="H1627" s="633">
        <v>2219</v>
      </c>
      <c r="I1627" s="618"/>
      <c r="J1627" s="619" t="s">
        <v>2250</v>
      </c>
      <c r="K1627" s="618"/>
      <c r="L1627" s="619">
        <v>131</v>
      </c>
      <c r="M1627" s="620">
        <v>122</v>
      </c>
      <c r="N1627" s="619"/>
      <c r="O1627" s="619">
        <v>14</v>
      </c>
      <c r="P1627" s="619" t="s">
        <v>760</v>
      </c>
      <c r="Q1627" s="662"/>
      <c r="R1627" s="618"/>
      <c r="S1627" s="621" t="s">
        <v>2475</v>
      </c>
      <c r="T1627" s="619" t="s">
        <v>1051</v>
      </c>
    </row>
    <row r="1628" spans="1:20">
      <c r="A1628" s="630">
        <v>7352219</v>
      </c>
      <c r="B1628" s="628"/>
      <c r="C1628" s="623"/>
      <c r="D1628" s="623"/>
      <c r="E1628" s="627" t="s">
        <v>2252</v>
      </c>
      <c r="F1628" s="631" t="s">
        <v>2491</v>
      </c>
      <c r="G1628" s="661">
        <v>735</v>
      </c>
      <c r="H1628" s="633">
        <v>2219</v>
      </c>
      <c r="I1628" s="618"/>
      <c r="J1628" s="619" t="s">
        <v>2252</v>
      </c>
      <c r="K1628" s="618"/>
      <c r="L1628" s="619">
        <v>131</v>
      </c>
      <c r="M1628" s="620">
        <v>122</v>
      </c>
      <c r="N1628" s="619"/>
      <c r="O1628" s="619">
        <v>14</v>
      </c>
      <c r="P1628" s="619" t="s">
        <v>760</v>
      </c>
      <c r="Q1628" s="662"/>
      <c r="R1628" s="618"/>
      <c r="S1628" s="621" t="s">
        <v>2475</v>
      </c>
      <c r="T1628" s="619" t="s">
        <v>1053</v>
      </c>
    </row>
    <row r="1629" spans="1:20">
      <c r="A1629" s="630">
        <v>7302219</v>
      </c>
      <c r="B1629" s="628"/>
      <c r="C1629" s="623"/>
      <c r="D1629" s="623"/>
      <c r="E1629" s="627" t="s">
        <v>2254</v>
      </c>
      <c r="F1629" s="631" t="s">
        <v>2492</v>
      </c>
      <c r="G1629" s="661">
        <v>730</v>
      </c>
      <c r="H1629" s="633">
        <v>2219</v>
      </c>
      <c r="I1629" s="618"/>
      <c r="J1629" s="619" t="s">
        <v>2254</v>
      </c>
      <c r="K1629" s="618"/>
      <c r="L1629" s="619">
        <v>131</v>
      </c>
      <c r="M1629" s="620">
        <v>122</v>
      </c>
      <c r="N1629" s="619"/>
      <c r="O1629" s="619">
        <v>14</v>
      </c>
      <c r="P1629" s="619" t="s">
        <v>760</v>
      </c>
      <c r="Q1629" s="662"/>
      <c r="R1629" s="618"/>
      <c r="S1629" s="621" t="s">
        <v>2475</v>
      </c>
      <c r="T1629" s="619" t="s">
        <v>1055</v>
      </c>
    </row>
    <row r="1630" spans="1:20">
      <c r="A1630" s="630">
        <v>7002219</v>
      </c>
      <c r="B1630" s="628"/>
      <c r="C1630" s="623"/>
      <c r="D1630" s="623"/>
      <c r="E1630" s="627" t="s">
        <v>2256</v>
      </c>
      <c r="F1630" s="631" t="s">
        <v>2493</v>
      </c>
      <c r="G1630" s="661">
        <v>700</v>
      </c>
      <c r="H1630" s="633">
        <v>2219</v>
      </c>
      <c r="I1630" s="618"/>
      <c r="J1630" s="619" t="s">
        <v>2256</v>
      </c>
      <c r="K1630" s="618"/>
      <c r="L1630" s="619">
        <v>132</v>
      </c>
      <c r="M1630" s="620">
        <v>123</v>
      </c>
      <c r="N1630" s="619"/>
      <c r="O1630" s="619">
        <v>14</v>
      </c>
      <c r="P1630" s="619" t="s">
        <v>760</v>
      </c>
      <c r="Q1630" s="662"/>
      <c r="R1630" s="618"/>
      <c r="S1630" s="621" t="s">
        <v>2475</v>
      </c>
      <c r="T1630" s="619" t="s">
        <v>1057</v>
      </c>
    </row>
    <row r="1631" spans="1:20">
      <c r="A1631" s="622"/>
      <c r="B1631" s="628"/>
      <c r="C1631" s="623"/>
      <c r="D1631" s="623"/>
      <c r="E1631" s="627" t="s">
        <v>2258</v>
      </c>
      <c r="F1631" s="626"/>
      <c r="G1631" s="623"/>
      <c r="H1631" s="627"/>
      <c r="I1631" s="618"/>
      <c r="J1631" s="618"/>
      <c r="K1631" s="618"/>
      <c r="L1631" s="618"/>
      <c r="M1631" s="618"/>
      <c r="N1631" s="618"/>
      <c r="O1631" s="618"/>
      <c r="P1631" s="618"/>
      <c r="Q1631" s="662"/>
      <c r="R1631" s="618"/>
      <c r="S1631" s="621"/>
      <c r="T1631" s="618"/>
    </row>
    <row r="1632" spans="1:20">
      <c r="A1632" s="630">
        <v>8952219</v>
      </c>
      <c r="B1632" s="628"/>
      <c r="C1632" s="623"/>
      <c r="D1632" s="623"/>
      <c r="E1632" s="627" t="s">
        <v>2259</v>
      </c>
      <c r="F1632" s="631" t="s">
        <v>2494</v>
      </c>
      <c r="G1632" s="661">
        <v>895</v>
      </c>
      <c r="H1632" s="633">
        <v>2219</v>
      </c>
      <c r="I1632" s="618"/>
      <c r="J1632" s="619" t="s">
        <v>2259</v>
      </c>
      <c r="K1632" s="618"/>
      <c r="L1632" s="619">
        <v>139</v>
      </c>
      <c r="M1632" s="620">
        <v>129</v>
      </c>
      <c r="N1632" s="619"/>
      <c r="O1632" s="619">
        <v>14</v>
      </c>
      <c r="P1632" s="619" t="s">
        <v>760</v>
      </c>
      <c r="Q1632" s="662"/>
      <c r="R1632" s="618"/>
      <c r="S1632" s="621" t="s">
        <v>2475</v>
      </c>
      <c r="T1632" s="619" t="s">
        <v>2261</v>
      </c>
    </row>
    <row r="1633" spans="1:20">
      <c r="A1633" s="630">
        <v>8002219</v>
      </c>
      <c r="B1633" s="628"/>
      <c r="C1633" s="623"/>
      <c r="D1633" s="623"/>
      <c r="E1633" s="627" t="s">
        <v>2262</v>
      </c>
      <c r="F1633" s="631" t="s">
        <v>2495</v>
      </c>
      <c r="G1633" s="661">
        <v>800</v>
      </c>
      <c r="H1633" s="633">
        <v>2219</v>
      </c>
      <c r="I1633" s="618"/>
      <c r="J1633" s="619" t="s">
        <v>2262</v>
      </c>
      <c r="K1633" s="618"/>
      <c r="L1633" s="619">
        <v>139</v>
      </c>
      <c r="M1633" s="620">
        <v>129</v>
      </c>
      <c r="N1633" s="619"/>
      <c r="O1633" s="619">
        <v>14</v>
      </c>
      <c r="P1633" s="619" t="s">
        <v>760</v>
      </c>
      <c r="Q1633" s="662"/>
      <c r="R1633" s="618"/>
      <c r="S1633" s="621" t="s">
        <v>2475</v>
      </c>
      <c r="T1633" s="619" t="s">
        <v>1061</v>
      </c>
    </row>
    <row r="1634" spans="1:20">
      <c r="A1634" s="622"/>
      <c r="B1634" s="628"/>
      <c r="C1634" s="623"/>
      <c r="D1634" s="623"/>
      <c r="E1634" s="627" t="s">
        <v>2264</v>
      </c>
      <c r="F1634" s="626"/>
      <c r="G1634" s="623"/>
      <c r="H1634" s="627"/>
      <c r="I1634" s="618"/>
      <c r="J1634" s="618"/>
      <c r="K1634" s="618"/>
      <c r="L1634" s="618"/>
      <c r="M1634" s="618"/>
      <c r="N1634" s="618"/>
      <c r="O1634" s="618"/>
      <c r="P1634" s="618"/>
      <c r="Q1634" s="662"/>
      <c r="R1634" s="618"/>
      <c r="S1634" s="621"/>
      <c r="T1634" s="618"/>
    </row>
    <row r="1635" spans="1:20">
      <c r="A1635" s="630">
        <v>2102219</v>
      </c>
      <c r="B1635" s="628"/>
      <c r="C1635" s="623"/>
      <c r="D1635" s="623"/>
      <c r="E1635" s="627" t="s">
        <v>2265</v>
      </c>
      <c r="F1635" s="631" t="s">
        <v>2496</v>
      </c>
      <c r="G1635" s="661">
        <v>210</v>
      </c>
      <c r="H1635" s="633">
        <v>2219</v>
      </c>
      <c r="I1635" s="618"/>
      <c r="J1635" s="619" t="s">
        <v>2265</v>
      </c>
      <c r="K1635" s="618"/>
      <c r="L1635" s="619">
        <v>89</v>
      </c>
      <c r="M1635" s="620">
        <v>84</v>
      </c>
      <c r="N1635" s="619"/>
      <c r="O1635" s="619">
        <v>14</v>
      </c>
      <c r="P1635" s="619" t="s">
        <v>760</v>
      </c>
      <c r="Q1635" s="662" t="s">
        <v>1002</v>
      </c>
      <c r="R1635" s="618"/>
      <c r="S1635" s="621" t="s">
        <v>2475</v>
      </c>
      <c r="T1635" s="619" t="s">
        <v>1064</v>
      </c>
    </row>
    <row r="1636" spans="1:20">
      <c r="A1636" s="630">
        <v>2202219</v>
      </c>
      <c r="B1636" s="628"/>
      <c r="C1636" s="623"/>
      <c r="D1636" s="623"/>
      <c r="E1636" s="627" t="s">
        <v>2267</v>
      </c>
      <c r="F1636" s="631" t="s">
        <v>2497</v>
      </c>
      <c r="G1636" s="661">
        <v>220</v>
      </c>
      <c r="H1636" s="633">
        <v>2219</v>
      </c>
      <c r="I1636" s="618"/>
      <c r="J1636" s="619" t="s">
        <v>2267</v>
      </c>
      <c r="K1636" s="618"/>
      <c r="L1636" s="619">
        <v>90</v>
      </c>
      <c r="M1636" s="620">
        <v>85</v>
      </c>
      <c r="N1636" s="619"/>
      <c r="O1636" s="619">
        <v>14</v>
      </c>
      <c r="P1636" s="619" t="s">
        <v>760</v>
      </c>
      <c r="Q1636" s="662" t="s">
        <v>1002</v>
      </c>
      <c r="R1636" s="618"/>
      <c r="S1636" s="621" t="s">
        <v>2475</v>
      </c>
      <c r="T1636" s="619" t="s">
        <v>1066</v>
      </c>
    </row>
    <row r="1637" spans="1:20">
      <c r="A1637" s="630">
        <v>2252219</v>
      </c>
      <c r="B1637" s="670"/>
      <c r="C1637" s="632"/>
      <c r="D1637" s="632"/>
      <c r="E1637" s="637" t="s">
        <v>2269</v>
      </c>
      <c r="F1637" s="631" t="s">
        <v>2498</v>
      </c>
      <c r="G1637" s="661">
        <v>225</v>
      </c>
      <c r="H1637" s="633">
        <v>2219</v>
      </c>
      <c r="I1637" s="618"/>
      <c r="J1637" s="619" t="s">
        <v>2269</v>
      </c>
      <c r="K1637" s="618"/>
      <c r="L1637" s="619">
        <v>91</v>
      </c>
      <c r="M1637" s="620">
        <v>86</v>
      </c>
      <c r="N1637" s="619"/>
      <c r="O1637" s="619">
        <v>14</v>
      </c>
      <c r="P1637" s="619" t="s">
        <v>760</v>
      </c>
      <c r="Q1637" s="662" t="s">
        <v>1002</v>
      </c>
      <c r="R1637" s="618"/>
      <c r="S1637" s="621" t="s">
        <v>2475</v>
      </c>
      <c r="T1637" s="619" t="s">
        <v>23</v>
      </c>
    </row>
    <row r="1638" spans="1:20">
      <c r="A1638" s="622"/>
      <c r="B1638" s="628"/>
      <c r="C1638" s="623"/>
      <c r="D1638" s="623"/>
      <c r="E1638" s="627" t="s">
        <v>2271</v>
      </c>
      <c r="F1638" s="626"/>
      <c r="G1638" s="623"/>
      <c r="H1638" s="627"/>
      <c r="I1638" s="618"/>
      <c r="J1638" s="618"/>
      <c r="K1638" s="618"/>
      <c r="L1638" s="618"/>
      <c r="M1638" s="618"/>
      <c r="N1638" s="618"/>
      <c r="O1638" s="618"/>
      <c r="P1638" s="618"/>
      <c r="Q1638" s="662"/>
      <c r="R1638" s="618"/>
      <c r="S1638" s="621"/>
      <c r="T1638" s="618"/>
    </row>
    <row r="1639" spans="1:20">
      <c r="A1639" s="630">
        <v>2312219</v>
      </c>
      <c r="B1639" s="628"/>
      <c r="C1639" s="623"/>
      <c r="D1639" s="623"/>
      <c r="E1639" s="627" t="s">
        <v>2272</v>
      </c>
      <c r="F1639" s="631" t="s">
        <v>2499</v>
      </c>
      <c r="G1639" s="661">
        <v>231</v>
      </c>
      <c r="H1639" s="633">
        <v>2219</v>
      </c>
      <c r="I1639" s="618"/>
      <c r="J1639" s="619" t="s">
        <v>2272</v>
      </c>
      <c r="K1639" s="618"/>
      <c r="L1639" s="619">
        <v>92</v>
      </c>
      <c r="M1639" s="620">
        <v>87</v>
      </c>
      <c r="N1639" s="619"/>
      <c r="O1639" s="619">
        <v>14</v>
      </c>
      <c r="P1639" s="619" t="s">
        <v>760</v>
      </c>
      <c r="Q1639" s="662" t="s">
        <v>1002</v>
      </c>
      <c r="R1639" s="618"/>
      <c r="S1639" s="621" t="s">
        <v>2475</v>
      </c>
      <c r="T1639" s="619" t="s">
        <v>1072</v>
      </c>
    </row>
    <row r="1640" spans="1:20">
      <c r="A1640" s="630">
        <v>2332219</v>
      </c>
      <c r="B1640" s="628"/>
      <c r="C1640" s="623"/>
      <c r="D1640" s="623"/>
      <c r="E1640" s="627" t="s">
        <v>2274</v>
      </c>
      <c r="F1640" s="631" t="s">
        <v>2500</v>
      </c>
      <c r="G1640" s="661">
        <v>233</v>
      </c>
      <c r="H1640" s="633">
        <v>2219</v>
      </c>
      <c r="I1640" s="618"/>
      <c r="J1640" s="619" t="s">
        <v>2274</v>
      </c>
      <c r="K1640" s="618"/>
      <c r="L1640" s="619">
        <v>92</v>
      </c>
      <c r="M1640" s="620">
        <v>87</v>
      </c>
      <c r="N1640" s="619"/>
      <c r="O1640" s="619">
        <v>14</v>
      </c>
      <c r="P1640" s="619" t="s">
        <v>760</v>
      </c>
      <c r="Q1640" s="662" t="s">
        <v>1002</v>
      </c>
      <c r="R1640" s="618"/>
      <c r="S1640" s="621" t="s">
        <v>2475</v>
      </c>
      <c r="T1640" s="619" t="s">
        <v>2276</v>
      </c>
    </row>
    <row r="1641" spans="1:20">
      <c r="A1641" s="630">
        <v>2392219</v>
      </c>
      <c r="B1641" s="628"/>
      <c r="C1641" s="623"/>
      <c r="D1641" s="623"/>
      <c r="E1641" s="627" t="s">
        <v>2277</v>
      </c>
      <c r="F1641" s="631" t="s">
        <v>2501</v>
      </c>
      <c r="G1641" s="661">
        <v>239</v>
      </c>
      <c r="H1641" s="633">
        <v>2219</v>
      </c>
      <c r="I1641" s="618"/>
      <c r="J1641" s="619" t="s">
        <v>2277</v>
      </c>
      <c r="K1641" s="618"/>
      <c r="L1641" s="619">
        <v>92</v>
      </c>
      <c r="M1641" s="620">
        <v>87</v>
      </c>
      <c r="N1641" s="619"/>
      <c r="O1641" s="619">
        <v>14</v>
      </c>
      <c r="P1641" s="619" t="s">
        <v>760</v>
      </c>
      <c r="Q1641" s="662" t="s">
        <v>1002</v>
      </c>
      <c r="R1641" s="618"/>
      <c r="S1641" s="621" t="s">
        <v>2475</v>
      </c>
      <c r="T1641" s="619" t="s">
        <v>1078</v>
      </c>
    </row>
    <row r="1642" spans="1:20">
      <c r="A1642" s="630">
        <v>2502219</v>
      </c>
      <c r="B1642" s="628"/>
      <c r="C1642" s="623"/>
      <c r="D1642" s="623"/>
      <c r="E1642" s="627" t="s">
        <v>2279</v>
      </c>
      <c r="F1642" s="631" t="s">
        <v>2502</v>
      </c>
      <c r="G1642" s="661">
        <v>250</v>
      </c>
      <c r="H1642" s="633">
        <v>2219</v>
      </c>
      <c r="I1642" s="618"/>
      <c r="J1642" s="619" t="s">
        <v>2279</v>
      </c>
      <c r="K1642" s="618"/>
      <c r="L1642" s="619">
        <v>93</v>
      </c>
      <c r="M1642" s="620">
        <v>88</v>
      </c>
      <c r="N1642" s="619"/>
      <c r="O1642" s="619">
        <v>14</v>
      </c>
      <c r="P1642" s="619" t="s">
        <v>760</v>
      </c>
      <c r="Q1642" s="662" t="s">
        <v>1002</v>
      </c>
      <c r="R1642" s="618"/>
      <c r="S1642" s="621" t="s">
        <v>2475</v>
      </c>
      <c r="T1642" s="619" t="s">
        <v>1079</v>
      </c>
    </row>
    <row r="1643" spans="1:20">
      <c r="A1643" s="630">
        <v>2602219</v>
      </c>
      <c r="B1643" s="628"/>
      <c r="C1643" s="623"/>
      <c r="D1643" s="623"/>
      <c r="E1643" s="627" t="s">
        <v>2281</v>
      </c>
      <c r="F1643" s="631" t="s">
        <v>2503</v>
      </c>
      <c r="G1643" s="661">
        <v>260</v>
      </c>
      <c r="H1643" s="633">
        <v>2219</v>
      </c>
      <c r="I1643" s="618"/>
      <c r="J1643" s="619" t="s">
        <v>2281</v>
      </c>
      <c r="K1643" s="618"/>
      <c r="L1643" s="619">
        <v>95</v>
      </c>
      <c r="M1643" s="620">
        <v>90</v>
      </c>
      <c r="N1643" s="619"/>
      <c r="O1643" s="619">
        <v>14</v>
      </c>
      <c r="P1643" s="619" t="s">
        <v>760</v>
      </c>
      <c r="Q1643" s="662" t="s">
        <v>1002</v>
      </c>
      <c r="R1643" s="618"/>
      <c r="S1643" s="621" t="s">
        <v>2475</v>
      </c>
      <c r="T1643" s="619" t="s">
        <v>1081</v>
      </c>
    </row>
    <row r="1644" spans="1:20">
      <c r="A1644" s="630">
        <v>2702219</v>
      </c>
      <c r="B1644" s="628"/>
      <c r="C1644" s="623"/>
      <c r="D1644" s="623"/>
      <c r="E1644" s="627" t="s">
        <v>2283</v>
      </c>
      <c r="F1644" s="631" t="s">
        <v>2504</v>
      </c>
      <c r="G1644" s="661">
        <v>270</v>
      </c>
      <c r="H1644" s="633">
        <v>2219</v>
      </c>
      <c r="I1644" s="618"/>
      <c r="J1644" s="619" t="s">
        <v>2283</v>
      </c>
      <c r="K1644" s="618"/>
      <c r="L1644" s="619">
        <v>94</v>
      </c>
      <c r="M1644" s="620">
        <v>89</v>
      </c>
      <c r="N1644" s="619"/>
      <c r="O1644" s="619">
        <v>14</v>
      </c>
      <c r="P1644" s="619" t="s">
        <v>760</v>
      </c>
      <c r="Q1644" s="662" t="s">
        <v>1002</v>
      </c>
      <c r="R1644" s="618"/>
      <c r="S1644" s="621" t="s">
        <v>2475</v>
      </c>
      <c r="T1644" s="619" t="s">
        <v>1083</v>
      </c>
    </row>
    <row r="1645" spans="1:20">
      <c r="A1645" s="630">
        <v>2812219</v>
      </c>
      <c r="B1645" s="628"/>
      <c r="C1645" s="623"/>
      <c r="D1645" s="623"/>
      <c r="E1645" s="627" t="s">
        <v>2285</v>
      </c>
      <c r="F1645" s="631" t="s">
        <v>2505</v>
      </c>
      <c r="G1645" s="661">
        <v>281</v>
      </c>
      <c r="H1645" s="633">
        <v>2219</v>
      </c>
      <c r="I1645" s="618"/>
      <c r="J1645" s="619" t="s">
        <v>2285</v>
      </c>
      <c r="K1645" s="618"/>
      <c r="L1645" s="619">
        <v>95</v>
      </c>
      <c r="M1645" s="620">
        <v>90</v>
      </c>
      <c r="N1645" s="619"/>
      <c r="O1645" s="619">
        <v>14</v>
      </c>
      <c r="P1645" s="619" t="s">
        <v>760</v>
      </c>
      <c r="Q1645" s="662" t="s">
        <v>1002</v>
      </c>
      <c r="R1645" s="618"/>
      <c r="S1645" s="621" t="s">
        <v>2475</v>
      </c>
      <c r="T1645" s="619" t="s">
        <v>1085</v>
      </c>
    </row>
    <row r="1646" spans="1:20">
      <c r="A1646" s="630">
        <v>2822219</v>
      </c>
      <c r="B1646" s="628"/>
      <c r="C1646" s="623"/>
      <c r="D1646" s="623"/>
      <c r="E1646" s="627" t="s">
        <v>2287</v>
      </c>
      <c r="F1646" s="631" t="s">
        <v>2506</v>
      </c>
      <c r="G1646" s="661">
        <v>282</v>
      </c>
      <c r="H1646" s="633">
        <v>2219</v>
      </c>
      <c r="I1646" s="618"/>
      <c r="J1646" s="619" t="s">
        <v>2287</v>
      </c>
      <c r="K1646" s="618"/>
      <c r="L1646" s="619">
        <v>95</v>
      </c>
      <c r="M1646" s="620">
        <v>90</v>
      </c>
      <c r="N1646" s="619"/>
      <c r="O1646" s="619">
        <v>14</v>
      </c>
      <c r="P1646" s="619" t="s">
        <v>760</v>
      </c>
      <c r="Q1646" s="662" t="s">
        <v>1002</v>
      </c>
      <c r="R1646" s="618"/>
      <c r="S1646" s="621" t="s">
        <v>2475</v>
      </c>
      <c r="T1646" s="619" t="s">
        <v>1087</v>
      </c>
    </row>
    <row r="1647" spans="1:20">
      <c r="A1647" s="630">
        <v>2902219</v>
      </c>
      <c r="B1647" s="628"/>
      <c r="C1647" s="623"/>
      <c r="D1647" s="623"/>
      <c r="E1647" s="627" t="s">
        <v>2289</v>
      </c>
      <c r="F1647" s="631" t="s">
        <v>2507</v>
      </c>
      <c r="G1647" s="661">
        <v>290</v>
      </c>
      <c r="H1647" s="633">
        <v>2219</v>
      </c>
      <c r="I1647" s="618"/>
      <c r="J1647" s="619" t="s">
        <v>2289</v>
      </c>
      <c r="K1647" s="618"/>
      <c r="L1647" s="619">
        <v>95</v>
      </c>
      <c r="M1647" s="620">
        <v>90</v>
      </c>
      <c r="N1647" s="619"/>
      <c r="O1647" s="619">
        <v>14</v>
      </c>
      <c r="P1647" s="619" t="s">
        <v>760</v>
      </c>
      <c r="Q1647" s="662" t="s">
        <v>1002</v>
      </c>
      <c r="R1647" s="618"/>
      <c r="S1647" s="621" t="s">
        <v>2475</v>
      </c>
      <c r="T1647" s="619" t="s">
        <v>1090</v>
      </c>
    </row>
    <row r="1648" spans="1:20">
      <c r="A1648" s="622"/>
      <c r="B1648" s="628"/>
      <c r="C1648" s="629">
        <v>56</v>
      </c>
      <c r="D1648" s="784" t="s">
        <v>2508</v>
      </c>
      <c r="E1648" s="775"/>
      <c r="F1648" s="626"/>
      <c r="G1648" s="623"/>
      <c r="H1648" s="627"/>
      <c r="I1648" s="618"/>
      <c r="J1648" s="618"/>
      <c r="K1648" s="618"/>
      <c r="L1648" s="618"/>
      <c r="M1648" s="618"/>
      <c r="N1648" s="618"/>
      <c r="O1648" s="618"/>
      <c r="P1648" s="618"/>
      <c r="Q1648" s="662"/>
      <c r="R1648" s="618"/>
      <c r="S1648" s="621"/>
      <c r="T1648" s="618"/>
    </row>
    <row r="1649" spans="1:20">
      <c r="A1649" s="622"/>
      <c r="B1649" s="628"/>
      <c r="C1649" s="623"/>
      <c r="D1649" s="623" t="s">
        <v>756</v>
      </c>
      <c r="E1649" s="627" t="s">
        <v>2509</v>
      </c>
      <c r="F1649" s="626"/>
      <c r="G1649" s="623"/>
      <c r="H1649" s="627"/>
      <c r="I1649" s="618"/>
      <c r="J1649" s="618"/>
      <c r="K1649" s="618"/>
      <c r="L1649" s="618"/>
      <c r="M1649" s="618"/>
      <c r="N1649" s="618"/>
      <c r="O1649" s="618"/>
      <c r="P1649" s="618"/>
      <c r="Q1649" s="662"/>
      <c r="R1649" s="618"/>
      <c r="S1649" s="621"/>
      <c r="T1649" s="618"/>
    </row>
    <row r="1650" spans="1:20">
      <c r="A1650" s="630">
        <v>1112220</v>
      </c>
      <c r="B1650" s="628"/>
      <c r="C1650" s="623"/>
      <c r="D1650" s="623"/>
      <c r="E1650" s="627" t="s">
        <v>2510</v>
      </c>
      <c r="F1650" s="631" t="s">
        <v>2511</v>
      </c>
      <c r="G1650" s="661">
        <v>111</v>
      </c>
      <c r="H1650" s="633">
        <v>2220</v>
      </c>
      <c r="I1650" s="618"/>
      <c r="J1650" s="619" t="s">
        <v>2510</v>
      </c>
      <c r="K1650" s="618"/>
      <c r="L1650" s="619">
        <v>81</v>
      </c>
      <c r="M1650" s="620">
        <v>76</v>
      </c>
      <c r="N1650" s="619"/>
      <c r="O1650" s="619">
        <v>14</v>
      </c>
      <c r="P1650" s="619" t="s">
        <v>760</v>
      </c>
      <c r="Q1650" s="662" t="s">
        <v>1002</v>
      </c>
      <c r="R1650" s="618"/>
      <c r="S1650" s="621" t="s">
        <v>2512</v>
      </c>
      <c r="T1650" s="619" t="s">
        <v>2217</v>
      </c>
    </row>
    <row r="1651" spans="1:20">
      <c r="A1651" s="630">
        <v>1132220</v>
      </c>
      <c r="B1651" s="628"/>
      <c r="C1651" s="623"/>
      <c r="D1651" s="623"/>
      <c r="E1651" s="627" t="s">
        <v>2513</v>
      </c>
      <c r="F1651" s="631" t="s">
        <v>2514</v>
      </c>
      <c r="G1651" s="661">
        <v>113</v>
      </c>
      <c r="H1651" s="633">
        <v>2220</v>
      </c>
      <c r="I1651" s="618"/>
      <c r="J1651" s="619" t="s">
        <v>2513</v>
      </c>
      <c r="K1651" s="618"/>
      <c r="L1651" s="619">
        <v>83</v>
      </c>
      <c r="M1651" s="620">
        <v>78</v>
      </c>
      <c r="N1651" s="619"/>
      <c r="O1651" s="619">
        <v>14</v>
      </c>
      <c r="P1651" s="619" t="s">
        <v>760</v>
      </c>
      <c r="Q1651" s="662" t="s">
        <v>1002</v>
      </c>
      <c r="R1651" s="618"/>
      <c r="S1651" s="621" t="s">
        <v>2512</v>
      </c>
      <c r="T1651" s="619" t="s">
        <v>2220</v>
      </c>
    </row>
    <row r="1652" spans="1:20">
      <c r="A1652" s="630">
        <v>1142220</v>
      </c>
      <c r="B1652" s="628"/>
      <c r="C1652" s="623"/>
      <c r="D1652" s="623"/>
      <c r="E1652" s="627" t="s">
        <v>1851</v>
      </c>
      <c r="F1652" s="631" t="s">
        <v>2515</v>
      </c>
      <c r="G1652" s="661">
        <v>114</v>
      </c>
      <c r="H1652" s="633">
        <v>2220</v>
      </c>
      <c r="I1652" s="618"/>
      <c r="J1652" s="619" t="s">
        <v>1851</v>
      </c>
      <c r="K1652" s="618"/>
      <c r="L1652" s="619">
        <v>84</v>
      </c>
      <c r="M1652" s="620">
        <v>79</v>
      </c>
      <c r="N1652" s="619"/>
      <c r="O1652" s="619">
        <v>14</v>
      </c>
      <c r="P1652" s="619" t="s">
        <v>760</v>
      </c>
      <c r="Q1652" s="662" t="s">
        <v>1002</v>
      </c>
      <c r="R1652" s="618"/>
      <c r="S1652" s="621" t="s">
        <v>2512</v>
      </c>
      <c r="T1652" s="619" t="s">
        <v>1853</v>
      </c>
    </row>
    <row r="1653" spans="1:20">
      <c r="A1653" s="630">
        <v>1002220</v>
      </c>
      <c r="B1653" s="628"/>
      <c r="C1653" s="623"/>
      <c r="D1653" s="623"/>
      <c r="E1653" s="627" t="s">
        <v>2132</v>
      </c>
      <c r="F1653" s="631" t="s">
        <v>2516</v>
      </c>
      <c r="G1653" s="661">
        <v>100</v>
      </c>
      <c r="H1653" s="633">
        <v>2220</v>
      </c>
      <c r="I1653" s="618"/>
      <c r="J1653" s="619" t="s">
        <v>2132</v>
      </c>
      <c r="K1653" s="618"/>
      <c r="L1653" s="619">
        <v>86</v>
      </c>
      <c r="M1653" s="620">
        <v>81</v>
      </c>
      <c r="N1653" s="619"/>
      <c r="O1653" s="619">
        <v>14</v>
      </c>
      <c r="P1653" s="619" t="s">
        <v>760</v>
      </c>
      <c r="Q1653" s="662" t="s">
        <v>1002</v>
      </c>
      <c r="R1653" s="618"/>
      <c r="S1653" s="621" t="s">
        <v>2512</v>
      </c>
      <c r="T1653" s="619" t="s">
        <v>1946</v>
      </c>
    </row>
    <row r="1654" spans="1:20">
      <c r="A1654" s="630">
        <v>1402220</v>
      </c>
      <c r="B1654" s="628"/>
      <c r="C1654" s="623"/>
      <c r="D1654" s="623"/>
      <c r="E1654" s="627" t="s">
        <v>1857</v>
      </c>
      <c r="F1654" s="631" t="s">
        <v>2517</v>
      </c>
      <c r="G1654" s="661">
        <v>140</v>
      </c>
      <c r="H1654" s="633">
        <v>2220</v>
      </c>
      <c r="I1654" s="618"/>
      <c r="J1654" s="619" t="s">
        <v>1857</v>
      </c>
      <c r="K1654" s="618"/>
      <c r="L1654" s="619">
        <v>86</v>
      </c>
      <c r="M1654" s="620">
        <v>81</v>
      </c>
      <c r="N1654" s="619"/>
      <c r="O1654" s="619">
        <v>14</v>
      </c>
      <c r="P1654" s="619" t="s">
        <v>760</v>
      </c>
      <c r="Q1654" s="662" t="s">
        <v>1002</v>
      </c>
      <c r="R1654" s="618"/>
      <c r="S1654" s="621" t="s">
        <v>2512</v>
      </c>
      <c r="T1654" s="619" t="s">
        <v>1017</v>
      </c>
    </row>
    <row r="1655" spans="1:20">
      <c r="A1655" s="630">
        <v>3002220</v>
      </c>
      <c r="B1655" s="628"/>
      <c r="C1655" s="623"/>
      <c r="D1655" s="623" t="s">
        <v>775</v>
      </c>
      <c r="E1655" s="627" t="s">
        <v>1112</v>
      </c>
      <c r="F1655" s="631" t="s">
        <v>2518</v>
      </c>
      <c r="G1655" s="661">
        <v>300</v>
      </c>
      <c r="H1655" s="633">
        <v>2220</v>
      </c>
      <c r="I1655" s="618"/>
      <c r="J1655" s="619" t="s">
        <v>1112</v>
      </c>
      <c r="K1655" s="618"/>
      <c r="L1655" s="619">
        <v>101</v>
      </c>
      <c r="M1655" s="620">
        <v>96</v>
      </c>
      <c r="N1655" s="619"/>
      <c r="O1655" s="619">
        <v>14</v>
      </c>
      <c r="P1655" s="619" t="s">
        <v>760</v>
      </c>
      <c r="Q1655" s="662"/>
      <c r="R1655" s="618"/>
      <c r="S1655" s="621" t="s">
        <v>2512</v>
      </c>
      <c r="T1655" s="619" t="s">
        <v>1112</v>
      </c>
    </row>
    <row r="1656" spans="1:20">
      <c r="A1656" s="622"/>
      <c r="B1656" s="628"/>
      <c r="C1656" s="623"/>
      <c r="D1656" s="623" t="s">
        <v>799</v>
      </c>
      <c r="E1656" s="627" t="s">
        <v>250</v>
      </c>
      <c r="F1656" s="626"/>
      <c r="G1656" s="623"/>
      <c r="H1656" s="627"/>
      <c r="I1656" s="618"/>
      <c r="J1656" s="618"/>
      <c r="K1656" s="618"/>
      <c r="L1656" s="618"/>
      <c r="M1656" s="618"/>
      <c r="N1656" s="618"/>
      <c r="O1656" s="618"/>
      <c r="P1656" s="618"/>
      <c r="Q1656" s="662"/>
      <c r="R1656" s="618"/>
      <c r="S1656" s="621"/>
      <c r="T1656" s="618"/>
    </row>
    <row r="1657" spans="1:20">
      <c r="A1657" s="630">
        <v>4302220</v>
      </c>
      <c r="B1657" s="628"/>
      <c r="C1657" s="623"/>
      <c r="D1657" s="623"/>
      <c r="E1657" s="627" t="s">
        <v>1114</v>
      </c>
      <c r="F1657" s="631" t="s">
        <v>2519</v>
      </c>
      <c r="G1657" s="661">
        <v>430</v>
      </c>
      <c r="H1657" s="633">
        <v>2220</v>
      </c>
      <c r="I1657" s="618"/>
      <c r="J1657" s="619" t="s">
        <v>1114</v>
      </c>
      <c r="K1657" s="618"/>
      <c r="L1657" s="619">
        <v>107</v>
      </c>
      <c r="M1657" s="620">
        <v>102</v>
      </c>
      <c r="N1657" s="619"/>
      <c r="O1657" s="619">
        <v>14</v>
      </c>
      <c r="P1657" s="619" t="s">
        <v>760</v>
      </c>
      <c r="Q1657" s="662"/>
      <c r="R1657" s="618"/>
      <c r="S1657" s="621" t="s">
        <v>2512</v>
      </c>
      <c r="T1657" s="619" t="s">
        <v>1021</v>
      </c>
    </row>
    <row r="1658" spans="1:20">
      <c r="A1658" s="630">
        <v>4422220</v>
      </c>
      <c r="B1658" s="628"/>
      <c r="C1658" s="623"/>
      <c r="D1658" s="623"/>
      <c r="E1658" s="627" t="s">
        <v>1116</v>
      </c>
      <c r="F1658" s="631" t="s">
        <v>2520</v>
      </c>
      <c r="G1658" s="661">
        <v>442</v>
      </c>
      <c r="H1658" s="633">
        <v>2220</v>
      </c>
      <c r="I1658" s="618"/>
      <c r="J1658" s="619" t="s">
        <v>1116</v>
      </c>
      <c r="K1658" s="618"/>
      <c r="L1658" s="619">
        <v>106</v>
      </c>
      <c r="M1658" s="620">
        <v>101</v>
      </c>
      <c r="N1658" s="619"/>
      <c r="O1658" s="619">
        <v>14</v>
      </c>
      <c r="P1658" s="619" t="s">
        <v>760</v>
      </c>
      <c r="Q1658" s="662"/>
      <c r="R1658" s="618"/>
      <c r="S1658" s="621" t="s">
        <v>2512</v>
      </c>
      <c r="T1658" s="619" t="s">
        <v>1023</v>
      </c>
    </row>
    <row r="1659" spans="1:20">
      <c r="A1659" s="630">
        <v>4002220</v>
      </c>
      <c r="B1659" s="628"/>
      <c r="C1659" s="623"/>
      <c r="D1659" s="623"/>
      <c r="E1659" s="627" t="s">
        <v>1118</v>
      </c>
      <c r="F1659" s="631" t="s">
        <v>2521</v>
      </c>
      <c r="G1659" s="661">
        <v>400</v>
      </c>
      <c r="H1659" s="633">
        <v>2220</v>
      </c>
      <c r="I1659" s="618"/>
      <c r="J1659" s="619" t="s">
        <v>1118</v>
      </c>
      <c r="K1659" s="618"/>
      <c r="L1659" s="619">
        <v>108</v>
      </c>
      <c r="M1659" s="620">
        <v>103</v>
      </c>
      <c r="N1659" s="619"/>
      <c r="O1659" s="619">
        <v>14</v>
      </c>
      <c r="P1659" s="619" t="s">
        <v>760</v>
      </c>
      <c r="Q1659" s="662"/>
      <c r="R1659" s="618"/>
      <c r="S1659" s="621" t="s">
        <v>2512</v>
      </c>
      <c r="T1659" s="619" t="s">
        <v>1025</v>
      </c>
    </row>
    <row r="1660" spans="1:20">
      <c r="A1660" s="622"/>
      <c r="B1660" s="628"/>
      <c r="C1660" s="623"/>
      <c r="D1660" s="623" t="s">
        <v>803</v>
      </c>
      <c r="E1660" s="627" t="s">
        <v>252</v>
      </c>
      <c r="F1660" s="626"/>
      <c r="G1660" s="623"/>
      <c r="H1660" s="627"/>
      <c r="I1660" s="618"/>
      <c r="J1660" s="618"/>
      <c r="K1660" s="618"/>
      <c r="L1660" s="618"/>
      <c r="M1660" s="618"/>
      <c r="N1660" s="618"/>
      <c r="O1660" s="618"/>
      <c r="P1660" s="618"/>
      <c r="Q1660" s="662"/>
      <c r="R1660" s="618"/>
      <c r="S1660" s="621"/>
      <c r="T1660" s="618"/>
    </row>
    <row r="1661" spans="1:20">
      <c r="A1661" s="630">
        <v>5822220</v>
      </c>
      <c r="B1661" s="628"/>
      <c r="C1661" s="623"/>
      <c r="D1661" s="623"/>
      <c r="E1661" s="627" t="s">
        <v>1863</v>
      </c>
      <c r="F1661" s="631" t="s">
        <v>2522</v>
      </c>
      <c r="G1661" s="661">
        <v>582</v>
      </c>
      <c r="H1661" s="633">
        <v>2220</v>
      </c>
      <c r="I1661" s="618"/>
      <c r="J1661" s="619" t="s">
        <v>1863</v>
      </c>
      <c r="K1661" s="618"/>
      <c r="L1661" s="619">
        <v>118</v>
      </c>
      <c r="M1661" s="620">
        <v>109</v>
      </c>
      <c r="N1661" s="619"/>
      <c r="O1661" s="619">
        <v>14</v>
      </c>
      <c r="P1661" s="619" t="s">
        <v>760</v>
      </c>
      <c r="Q1661" s="662"/>
      <c r="R1661" s="618"/>
      <c r="S1661" s="621" t="s">
        <v>2512</v>
      </c>
      <c r="T1661" s="619" t="s">
        <v>1037</v>
      </c>
    </row>
    <row r="1662" spans="1:20">
      <c r="A1662" s="630">
        <v>5002220</v>
      </c>
      <c r="B1662" s="628"/>
      <c r="C1662" s="623"/>
      <c r="D1662" s="623"/>
      <c r="E1662" s="627" t="s">
        <v>1865</v>
      </c>
      <c r="F1662" s="631" t="s">
        <v>2523</v>
      </c>
      <c r="G1662" s="661">
        <v>500</v>
      </c>
      <c r="H1662" s="633">
        <v>2220</v>
      </c>
      <c r="I1662" s="618"/>
      <c r="J1662" s="619" t="s">
        <v>1865</v>
      </c>
      <c r="K1662" s="618"/>
      <c r="L1662" s="619">
        <v>119</v>
      </c>
      <c r="M1662" s="620">
        <v>110</v>
      </c>
      <c r="N1662" s="619"/>
      <c r="O1662" s="619">
        <v>14</v>
      </c>
      <c r="P1662" s="619" t="s">
        <v>760</v>
      </c>
      <c r="Q1662" s="662"/>
      <c r="R1662" s="618"/>
      <c r="S1662" s="621" t="s">
        <v>2512</v>
      </c>
      <c r="T1662" s="619" t="s">
        <v>252</v>
      </c>
    </row>
    <row r="1663" spans="1:20">
      <c r="A1663" s="622"/>
      <c r="B1663" s="628"/>
      <c r="C1663" s="623"/>
      <c r="D1663" s="623" t="s">
        <v>848</v>
      </c>
      <c r="E1663" s="627" t="s">
        <v>254</v>
      </c>
      <c r="F1663" s="626"/>
      <c r="G1663" s="623"/>
      <c r="H1663" s="627"/>
      <c r="I1663" s="618"/>
      <c r="J1663" s="618"/>
      <c r="K1663" s="618"/>
      <c r="L1663" s="618"/>
      <c r="M1663" s="618"/>
      <c r="N1663" s="618"/>
      <c r="O1663" s="618"/>
      <c r="P1663" s="618"/>
      <c r="Q1663" s="662"/>
      <c r="R1663" s="618"/>
      <c r="S1663" s="621"/>
      <c r="T1663" s="618"/>
    </row>
    <row r="1664" spans="1:20">
      <c r="A1664" s="630">
        <v>6152220</v>
      </c>
      <c r="B1664" s="628"/>
      <c r="C1664" s="623"/>
      <c r="D1664" s="623"/>
      <c r="E1664" s="627" t="s">
        <v>1138</v>
      </c>
      <c r="F1664" s="631" t="s">
        <v>2524</v>
      </c>
      <c r="G1664" s="661">
        <v>615</v>
      </c>
      <c r="H1664" s="633">
        <v>2220</v>
      </c>
      <c r="I1664" s="618"/>
      <c r="J1664" s="619" t="s">
        <v>1138</v>
      </c>
      <c r="K1664" s="618"/>
      <c r="L1664" s="619">
        <v>126</v>
      </c>
      <c r="M1664" s="620">
        <v>117</v>
      </c>
      <c r="N1664" s="619"/>
      <c r="O1664" s="619">
        <v>14</v>
      </c>
      <c r="P1664" s="619" t="s">
        <v>760</v>
      </c>
      <c r="Q1664" s="662" t="s">
        <v>1043</v>
      </c>
      <c r="R1664" s="618"/>
      <c r="S1664" s="621" t="s">
        <v>2512</v>
      </c>
      <c r="T1664" s="619" t="s">
        <v>1041</v>
      </c>
    </row>
    <row r="1665" spans="1:20">
      <c r="A1665" s="630">
        <v>6102220</v>
      </c>
      <c r="B1665" s="628"/>
      <c r="C1665" s="623"/>
      <c r="D1665" s="623"/>
      <c r="E1665" s="627" t="s">
        <v>1140</v>
      </c>
      <c r="F1665" s="631" t="s">
        <v>2525</v>
      </c>
      <c r="G1665" s="661">
        <v>610</v>
      </c>
      <c r="H1665" s="633">
        <v>2220</v>
      </c>
      <c r="I1665" s="618"/>
      <c r="J1665" s="619" t="s">
        <v>1140</v>
      </c>
      <c r="K1665" s="618"/>
      <c r="L1665" s="619">
        <v>122</v>
      </c>
      <c r="M1665" s="620">
        <v>113</v>
      </c>
      <c r="N1665" s="619"/>
      <c r="O1665" s="619">
        <v>14</v>
      </c>
      <c r="P1665" s="619" t="s">
        <v>760</v>
      </c>
      <c r="Q1665" s="662" t="s">
        <v>1043</v>
      </c>
      <c r="R1665" s="618"/>
      <c r="S1665" s="621" t="s">
        <v>2512</v>
      </c>
      <c r="T1665" s="619" t="s">
        <v>39</v>
      </c>
    </row>
    <row r="1666" spans="1:20">
      <c r="A1666" s="630">
        <v>6402220</v>
      </c>
      <c r="B1666" s="628"/>
      <c r="C1666" s="623"/>
      <c r="D1666" s="623"/>
      <c r="E1666" s="627" t="s">
        <v>2526</v>
      </c>
      <c r="F1666" s="631" t="s">
        <v>2527</v>
      </c>
      <c r="G1666" s="661">
        <v>640</v>
      </c>
      <c r="H1666" s="633">
        <v>2220</v>
      </c>
      <c r="I1666" s="618"/>
      <c r="J1666" s="619" t="s">
        <v>2526</v>
      </c>
      <c r="K1666" s="618"/>
      <c r="L1666" s="619">
        <v>125</v>
      </c>
      <c r="M1666" s="620">
        <v>116</v>
      </c>
      <c r="N1666" s="619"/>
      <c r="O1666" s="619">
        <v>14</v>
      </c>
      <c r="P1666" s="619" t="s">
        <v>760</v>
      </c>
      <c r="Q1666" s="662" t="s">
        <v>1043</v>
      </c>
      <c r="R1666" s="618"/>
      <c r="S1666" s="621" t="s">
        <v>2512</v>
      </c>
      <c r="T1666" s="619" t="s">
        <v>2528</v>
      </c>
    </row>
    <row r="1667" spans="1:20">
      <c r="A1667" s="630">
        <v>6002220</v>
      </c>
      <c r="B1667" s="628"/>
      <c r="C1667" s="623"/>
      <c r="D1667" s="623"/>
      <c r="E1667" s="627" t="s">
        <v>1144</v>
      </c>
      <c r="F1667" s="631" t="s">
        <v>2529</v>
      </c>
      <c r="G1667" s="661">
        <v>600</v>
      </c>
      <c r="H1667" s="633">
        <v>2220</v>
      </c>
      <c r="I1667" s="618"/>
      <c r="J1667" s="619" t="s">
        <v>1144</v>
      </c>
      <c r="K1667" s="618"/>
      <c r="L1667" s="619">
        <v>126</v>
      </c>
      <c r="M1667" s="620">
        <v>117</v>
      </c>
      <c r="N1667" s="619"/>
      <c r="O1667" s="619">
        <v>14</v>
      </c>
      <c r="P1667" s="619" t="s">
        <v>760</v>
      </c>
      <c r="Q1667" s="662"/>
      <c r="R1667" s="618"/>
      <c r="S1667" s="621" t="s">
        <v>2512</v>
      </c>
      <c r="T1667" s="619" t="s">
        <v>1048</v>
      </c>
    </row>
    <row r="1668" spans="1:20">
      <c r="A1668" s="622"/>
      <c r="B1668" s="628"/>
      <c r="C1668" s="623"/>
      <c r="D1668" s="623" t="s">
        <v>851</v>
      </c>
      <c r="E1668" s="627" t="s">
        <v>1050</v>
      </c>
      <c r="F1668" s="626"/>
      <c r="G1668" s="623"/>
      <c r="H1668" s="627"/>
      <c r="I1668" s="618"/>
      <c r="J1668" s="618"/>
      <c r="K1668" s="618"/>
      <c r="L1668" s="618"/>
      <c r="M1668" s="618"/>
      <c r="N1668" s="618"/>
      <c r="O1668" s="618"/>
      <c r="P1668" s="618"/>
      <c r="Q1668" s="662"/>
      <c r="R1668" s="618"/>
      <c r="S1668" s="621"/>
      <c r="T1668" s="618"/>
    </row>
    <row r="1669" spans="1:20">
      <c r="A1669" s="630">
        <v>7342220</v>
      </c>
      <c r="B1669" s="628"/>
      <c r="C1669" s="623"/>
      <c r="D1669" s="623"/>
      <c r="E1669" s="627" t="s">
        <v>1146</v>
      </c>
      <c r="F1669" s="631" t="s">
        <v>2530</v>
      </c>
      <c r="G1669" s="661">
        <v>734</v>
      </c>
      <c r="H1669" s="633">
        <v>2220</v>
      </c>
      <c r="I1669" s="618"/>
      <c r="J1669" s="619" t="s">
        <v>1146</v>
      </c>
      <c r="K1669" s="618"/>
      <c r="L1669" s="619">
        <v>131</v>
      </c>
      <c r="M1669" s="620">
        <v>122</v>
      </c>
      <c r="N1669" s="619"/>
      <c r="O1669" s="619">
        <v>14</v>
      </c>
      <c r="P1669" s="619" t="s">
        <v>760</v>
      </c>
      <c r="Q1669" s="662"/>
      <c r="R1669" s="618"/>
      <c r="S1669" s="621" t="s">
        <v>2512</v>
      </c>
      <c r="T1669" s="619" t="s">
        <v>1051</v>
      </c>
    </row>
    <row r="1670" spans="1:20">
      <c r="A1670" s="630">
        <v>7352220</v>
      </c>
      <c r="B1670" s="628"/>
      <c r="C1670" s="623"/>
      <c r="D1670" s="623"/>
      <c r="E1670" s="627" t="s">
        <v>1148</v>
      </c>
      <c r="F1670" s="631" t="s">
        <v>2531</v>
      </c>
      <c r="G1670" s="661">
        <v>735</v>
      </c>
      <c r="H1670" s="633">
        <v>2220</v>
      </c>
      <c r="I1670" s="618"/>
      <c r="J1670" s="619" t="s">
        <v>1148</v>
      </c>
      <c r="K1670" s="618"/>
      <c r="L1670" s="619">
        <v>131</v>
      </c>
      <c r="M1670" s="620">
        <v>122</v>
      </c>
      <c r="N1670" s="619"/>
      <c r="O1670" s="619">
        <v>14</v>
      </c>
      <c r="P1670" s="619" t="s">
        <v>760</v>
      </c>
      <c r="Q1670" s="662"/>
      <c r="R1670" s="618"/>
      <c r="S1670" s="621" t="s">
        <v>2512</v>
      </c>
      <c r="T1670" s="619" t="s">
        <v>1053</v>
      </c>
    </row>
    <row r="1671" spans="1:20">
      <c r="A1671" s="630">
        <v>7302220</v>
      </c>
      <c r="B1671" s="628"/>
      <c r="C1671" s="623"/>
      <c r="D1671" s="623"/>
      <c r="E1671" s="627" t="s">
        <v>1150</v>
      </c>
      <c r="F1671" s="631" t="s">
        <v>2532</v>
      </c>
      <c r="G1671" s="661">
        <v>730</v>
      </c>
      <c r="H1671" s="633">
        <v>2220</v>
      </c>
      <c r="I1671" s="618"/>
      <c r="J1671" s="619" t="s">
        <v>1150</v>
      </c>
      <c r="K1671" s="618"/>
      <c r="L1671" s="619">
        <v>131</v>
      </c>
      <c r="M1671" s="620">
        <v>122</v>
      </c>
      <c r="N1671" s="619"/>
      <c r="O1671" s="619">
        <v>14</v>
      </c>
      <c r="P1671" s="619" t="s">
        <v>760</v>
      </c>
      <c r="Q1671" s="662"/>
      <c r="R1671" s="618"/>
      <c r="S1671" s="621" t="s">
        <v>2512</v>
      </c>
      <c r="T1671" s="619" t="s">
        <v>1055</v>
      </c>
    </row>
    <row r="1672" spans="1:20">
      <c r="A1672" s="630">
        <v>7002220</v>
      </c>
      <c r="B1672" s="628"/>
      <c r="C1672" s="623"/>
      <c r="D1672" s="623"/>
      <c r="E1672" s="627" t="s">
        <v>1152</v>
      </c>
      <c r="F1672" s="631" t="s">
        <v>2533</v>
      </c>
      <c r="G1672" s="661">
        <v>700</v>
      </c>
      <c r="H1672" s="633">
        <v>2220</v>
      </c>
      <c r="I1672" s="618"/>
      <c r="J1672" s="619" t="s">
        <v>1152</v>
      </c>
      <c r="K1672" s="618"/>
      <c r="L1672" s="619">
        <v>132</v>
      </c>
      <c r="M1672" s="620">
        <v>123</v>
      </c>
      <c r="N1672" s="619"/>
      <c r="O1672" s="619">
        <v>14</v>
      </c>
      <c r="P1672" s="619" t="s">
        <v>760</v>
      </c>
      <c r="Q1672" s="662"/>
      <c r="R1672" s="618"/>
      <c r="S1672" s="621" t="s">
        <v>2512</v>
      </c>
      <c r="T1672" s="619" t="s">
        <v>1057</v>
      </c>
    </row>
    <row r="1673" spans="1:20">
      <c r="A1673" s="622"/>
      <c r="B1673" s="628"/>
      <c r="C1673" s="623"/>
      <c r="D1673" s="623" t="s">
        <v>854</v>
      </c>
      <c r="E1673" s="627" t="s">
        <v>256</v>
      </c>
      <c r="F1673" s="626"/>
      <c r="G1673" s="623"/>
      <c r="H1673" s="627"/>
      <c r="I1673" s="618"/>
      <c r="J1673" s="618"/>
      <c r="K1673" s="618"/>
      <c r="L1673" s="618"/>
      <c r="M1673" s="618"/>
      <c r="N1673" s="618"/>
      <c r="O1673" s="618"/>
      <c r="P1673" s="618"/>
      <c r="Q1673" s="662"/>
      <c r="R1673" s="618"/>
      <c r="S1673" s="621"/>
      <c r="T1673" s="618"/>
    </row>
    <row r="1674" spans="1:20">
      <c r="A1674" s="630">
        <v>8952220</v>
      </c>
      <c r="B1674" s="628"/>
      <c r="C1674" s="623"/>
      <c r="D1674" s="623"/>
      <c r="E1674" s="627" t="s">
        <v>1154</v>
      </c>
      <c r="F1674" s="631" t="s">
        <v>2534</v>
      </c>
      <c r="G1674" s="661">
        <v>895</v>
      </c>
      <c r="H1674" s="633">
        <v>2220</v>
      </c>
      <c r="I1674" s="618"/>
      <c r="J1674" s="619" t="s">
        <v>1154</v>
      </c>
      <c r="K1674" s="618"/>
      <c r="L1674" s="619">
        <v>139</v>
      </c>
      <c r="M1674" s="620">
        <v>129</v>
      </c>
      <c r="N1674" s="619"/>
      <c r="O1674" s="619">
        <v>14</v>
      </c>
      <c r="P1674" s="619" t="s">
        <v>760</v>
      </c>
      <c r="Q1674" s="662"/>
      <c r="R1674" s="618"/>
      <c r="S1674" s="621" t="s">
        <v>2512</v>
      </c>
      <c r="T1674" s="619" t="s">
        <v>1059</v>
      </c>
    </row>
    <row r="1675" spans="1:20">
      <c r="A1675" s="630">
        <v>8002220</v>
      </c>
      <c r="B1675" s="628"/>
      <c r="C1675" s="623"/>
      <c r="D1675" s="623"/>
      <c r="E1675" s="627" t="s">
        <v>1156</v>
      </c>
      <c r="F1675" s="631" t="s">
        <v>2535</v>
      </c>
      <c r="G1675" s="661">
        <v>800</v>
      </c>
      <c r="H1675" s="633">
        <v>2220</v>
      </c>
      <c r="I1675" s="618"/>
      <c r="J1675" s="619" t="s">
        <v>1156</v>
      </c>
      <c r="K1675" s="618"/>
      <c r="L1675" s="619">
        <v>139</v>
      </c>
      <c r="M1675" s="620">
        <v>129</v>
      </c>
      <c r="N1675" s="619"/>
      <c r="O1675" s="619">
        <v>14</v>
      </c>
      <c r="P1675" s="619" t="s">
        <v>760</v>
      </c>
      <c r="Q1675" s="662"/>
      <c r="R1675" s="618"/>
      <c r="S1675" s="621" t="s">
        <v>2512</v>
      </c>
      <c r="T1675" s="619" t="s">
        <v>1061</v>
      </c>
    </row>
    <row r="1676" spans="1:20">
      <c r="A1676" s="622"/>
      <c r="B1676" s="628"/>
      <c r="C1676" s="623"/>
      <c r="D1676" s="623" t="s">
        <v>857</v>
      </c>
      <c r="E1676" s="627" t="s">
        <v>1063</v>
      </c>
      <c r="F1676" s="626"/>
      <c r="G1676" s="623"/>
      <c r="H1676" s="627"/>
      <c r="I1676" s="618"/>
      <c r="J1676" s="618"/>
      <c r="K1676" s="618"/>
      <c r="L1676" s="618"/>
      <c r="M1676" s="618"/>
      <c r="N1676" s="618"/>
      <c r="O1676" s="618"/>
      <c r="P1676" s="618"/>
      <c r="Q1676" s="662"/>
      <c r="R1676" s="618"/>
      <c r="S1676" s="621"/>
      <c r="T1676" s="618"/>
    </row>
    <row r="1677" spans="1:20">
      <c r="A1677" s="630">
        <v>2102220</v>
      </c>
      <c r="B1677" s="628"/>
      <c r="C1677" s="623"/>
      <c r="D1677" s="623"/>
      <c r="E1677" s="627" t="s">
        <v>1158</v>
      </c>
      <c r="F1677" s="631" t="s">
        <v>2536</v>
      </c>
      <c r="G1677" s="661">
        <v>210</v>
      </c>
      <c r="H1677" s="633">
        <v>2220</v>
      </c>
      <c r="I1677" s="618"/>
      <c r="J1677" s="619" t="s">
        <v>1158</v>
      </c>
      <c r="K1677" s="618"/>
      <c r="L1677" s="619">
        <v>89</v>
      </c>
      <c r="M1677" s="620">
        <v>84</v>
      </c>
      <c r="N1677" s="619"/>
      <c r="O1677" s="619">
        <v>14</v>
      </c>
      <c r="P1677" s="619" t="s">
        <v>760</v>
      </c>
      <c r="Q1677" s="662" t="s">
        <v>1002</v>
      </c>
      <c r="R1677" s="618"/>
      <c r="S1677" s="621" t="s">
        <v>2512</v>
      </c>
      <c r="T1677" s="619" t="s">
        <v>1064</v>
      </c>
    </row>
    <row r="1678" spans="1:20">
      <c r="A1678" s="630">
        <v>2202220</v>
      </c>
      <c r="B1678" s="628"/>
      <c r="C1678" s="623"/>
      <c r="D1678" s="623"/>
      <c r="E1678" s="627" t="s">
        <v>1160</v>
      </c>
      <c r="F1678" s="631" t="s">
        <v>2537</v>
      </c>
      <c r="G1678" s="661">
        <v>220</v>
      </c>
      <c r="H1678" s="633">
        <v>2220</v>
      </c>
      <c r="I1678" s="618"/>
      <c r="J1678" s="619" t="s">
        <v>1160</v>
      </c>
      <c r="K1678" s="618"/>
      <c r="L1678" s="619">
        <v>90</v>
      </c>
      <c r="M1678" s="620">
        <v>85</v>
      </c>
      <c r="N1678" s="619"/>
      <c r="O1678" s="619">
        <v>14</v>
      </c>
      <c r="P1678" s="619" t="s">
        <v>760</v>
      </c>
      <c r="Q1678" s="662" t="s">
        <v>1002</v>
      </c>
      <c r="R1678" s="618"/>
      <c r="S1678" s="621" t="s">
        <v>2512</v>
      </c>
      <c r="T1678" s="619" t="s">
        <v>1066</v>
      </c>
    </row>
    <row r="1679" spans="1:20">
      <c r="A1679" s="630">
        <v>2252220</v>
      </c>
      <c r="B1679" s="628"/>
      <c r="C1679" s="623"/>
      <c r="D1679" s="623"/>
      <c r="E1679" s="627" t="s">
        <v>1162</v>
      </c>
      <c r="F1679" s="631" t="s">
        <v>2538</v>
      </c>
      <c r="G1679" s="661">
        <v>225</v>
      </c>
      <c r="H1679" s="633">
        <v>2220</v>
      </c>
      <c r="I1679" s="618"/>
      <c r="J1679" s="619" t="s">
        <v>1162</v>
      </c>
      <c r="K1679" s="618"/>
      <c r="L1679" s="619">
        <v>91</v>
      </c>
      <c r="M1679" s="620">
        <v>86</v>
      </c>
      <c r="N1679" s="619"/>
      <c r="O1679" s="619">
        <v>14</v>
      </c>
      <c r="P1679" s="619" t="s">
        <v>760</v>
      </c>
      <c r="Q1679" s="662" t="s">
        <v>1002</v>
      </c>
      <c r="R1679" s="618"/>
      <c r="S1679" s="621" t="s">
        <v>2512</v>
      </c>
      <c r="T1679" s="619" t="s">
        <v>23</v>
      </c>
    </row>
    <row r="1680" spans="1:20">
      <c r="A1680" s="622"/>
      <c r="B1680" s="628"/>
      <c r="C1680" s="623"/>
      <c r="D1680" s="623"/>
      <c r="E1680" s="627" t="s">
        <v>1164</v>
      </c>
      <c r="F1680" s="626"/>
      <c r="G1680" s="623"/>
      <c r="H1680" s="627"/>
      <c r="I1680" s="618"/>
      <c r="J1680" s="618"/>
      <c r="K1680" s="618"/>
      <c r="L1680" s="618"/>
      <c r="M1680" s="618"/>
      <c r="N1680" s="618"/>
      <c r="O1680" s="618"/>
      <c r="P1680" s="618"/>
      <c r="Q1680" s="662"/>
      <c r="R1680" s="618"/>
      <c r="S1680" s="621"/>
      <c r="T1680" s="618"/>
    </row>
    <row r="1681" spans="1:20">
      <c r="A1681" s="630">
        <v>2312220</v>
      </c>
      <c r="B1681" s="628"/>
      <c r="C1681" s="623"/>
      <c r="D1681" s="623"/>
      <c r="E1681" s="627" t="s">
        <v>1165</v>
      </c>
      <c r="F1681" s="631" t="s">
        <v>2539</v>
      </c>
      <c r="G1681" s="661">
        <v>231</v>
      </c>
      <c r="H1681" s="633">
        <v>2220</v>
      </c>
      <c r="I1681" s="618"/>
      <c r="J1681" s="619" t="s">
        <v>1165</v>
      </c>
      <c r="K1681" s="618"/>
      <c r="L1681" s="619">
        <v>92</v>
      </c>
      <c r="M1681" s="620">
        <v>87</v>
      </c>
      <c r="N1681" s="619"/>
      <c r="O1681" s="619">
        <v>14</v>
      </c>
      <c r="P1681" s="619" t="s">
        <v>760</v>
      </c>
      <c r="Q1681" s="662" t="s">
        <v>1002</v>
      </c>
      <c r="R1681" s="618"/>
      <c r="S1681" s="621" t="s">
        <v>2512</v>
      </c>
      <c r="T1681" s="619" t="s">
        <v>1072</v>
      </c>
    </row>
    <row r="1682" spans="1:20">
      <c r="A1682" s="630">
        <v>2332220</v>
      </c>
      <c r="B1682" s="628"/>
      <c r="C1682" s="623"/>
      <c r="D1682" s="623"/>
      <c r="E1682" s="627" t="s">
        <v>1167</v>
      </c>
      <c r="F1682" s="631" t="s">
        <v>2540</v>
      </c>
      <c r="G1682" s="661">
        <v>233</v>
      </c>
      <c r="H1682" s="633">
        <v>2220</v>
      </c>
      <c r="I1682" s="618"/>
      <c r="J1682" s="619" t="s">
        <v>1167</v>
      </c>
      <c r="K1682" s="618"/>
      <c r="L1682" s="619">
        <v>92</v>
      </c>
      <c r="M1682" s="620">
        <v>87</v>
      </c>
      <c r="N1682" s="619"/>
      <c r="O1682" s="619">
        <v>14</v>
      </c>
      <c r="P1682" s="619" t="s">
        <v>760</v>
      </c>
      <c r="Q1682" s="662" t="s">
        <v>1002</v>
      </c>
      <c r="R1682" s="618"/>
      <c r="S1682" s="621" t="s">
        <v>2512</v>
      </c>
      <c r="T1682" s="619" t="s">
        <v>1169</v>
      </c>
    </row>
    <row r="1683" spans="1:20">
      <c r="A1683" s="630">
        <v>2392220</v>
      </c>
      <c r="B1683" s="628"/>
      <c r="C1683" s="623"/>
      <c r="D1683" s="623"/>
      <c r="E1683" s="627" t="s">
        <v>1170</v>
      </c>
      <c r="F1683" s="631" t="s">
        <v>2541</v>
      </c>
      <c r="G1683" s="661">
        <v>239</v>
      </c>
      <c r="H1683" s="633">
        <v>2220</v>
      </c>
      <c r="I1683" s="618"/>
      <c r="J1683" s="619" t="s">
        <v>1170</v>
      </c>
      <c r="K1683" s="618"/>
      <c r="L1683" s="619">
        <v>92</v>
      </c>
      <c r="M1683" s="620">
        <v>87</v>
      </c>
      <c r="N1683" s="619"/>
      <c r="O1683" s="619">
        <v>14</v>
      </c>
      <c r="P1683" s="619" t="s">
        <v>760</v>
      </c>
      <c r="Q1683" s="662" t="s">
        <v>1002</v>
      </c>
      <c r="R1683" s="618"/>
      <c r="S1683" s="621" t="s">
        <v>2512</v>
      </c>
      <c r="T1683" s="619" t="s">
        <v>1078</v>
      </c>
    </row>
    <row r="1684" spans="1:20">
      <c r="A1684" s="630">
        <v>2502220</v>
      </c>
      <c r="B1684" s="628"/>
      <c r="C1684" s="623"/>
      <c r="D1684" s="623"/>
      <c r="E1684" s="627" t="s">
        <v>1172</v>
      </c>
      <c r="F1684" s="631" t="s">
        <v>2542</v>
      </c>
      <c r="G1684" s="661">
        <v>250</v>
      </c>
      <c r="H1684" s="633">
        <v>2220</v>
      </c>
      <c r="I1684" s="618"/>
      <c r="J1684" s="619" t="s">
        <v>1172</v>
      </c>
      <c r="K1684" s="618"/>
      <c r="L1684" s="619">
        <v>93</v>
      </c>
      <c r="M1684" s="620">
        <v>88</v>
      </c>
      <c r="N1684" s="619"/>
      <c r="O1684" s="619">
        <v>14</v>
      </c>
      <c r="P1684" s="619" t="s">
        <v>760</v>
      </c>
      <c r="Q1684" s="662" t="s">
        <v>1002</v>
      </c>
      <c r="R1684" s="618"/>
      <c r="S1684" s="621" t="s">
        <v>2512</v>
      </c>
      <c r="T1684" s="619" t="s">
        <v>1079</v>
      </c>
    </row>
    <row r="1685" spans="1:20">
      <c r="A1685" s="630">
        <v>2602220</v>
      </c>
      <c r="B1685" s="628"/>
      <c r="C1685" s="623"/>
      <c r="D1685" s="623"/>
      <c r="E1685" s="627" t="s">
        <v>1174</v>
      </c>
      <c r="F1685" s="631" t="s">
        <v>2543</v>
      </c>
      <c r="G1685" s="661">
        <v>260</v>
      </c>
      <c r="H1685" s="633">
        <v>2220</v>
      </c>
      <c r="I1685" s="618"/>
      <c r="J1685" s="619" t="s">
        <v>1174</v>
      </c>
      <c r="K1685" s="618"/>
      <c r="L1685" s="619">
        <v>95</v>
      </c>
      <c r="M1685" s="620">
        <v>90</v>
      </c>
      <c r="N1685" s="619"/>
      <c r="O1685" s="619">
        <v>14</v>
      </c>
      <c r="P1685" s="619" t="s">
        <v>760</v>
      </c>
      <c r="Q1685" s="662" t="s">
        <v>1002</v>
      </c>
      <c r="R1685" s="618"/>
      <c r="S1685" s="621" t="s">
        <v>2512</v>
      </c>
      <c r="T1685" s="619" t="s">
        <v>1081</v>
      </c>
    </row>
    <row r="1686" spans="1:20">
      <c r="A1686" s="630">
        <v>2702220</v>
      </c>
      <c r="B1686" s="628"/>
      <c r="C1686" s="623"/>
      <c r="D1686" s="623"/>
      <c r="E1686" s="627" t="s">
        <v>1176</v>
      </c>
      <c r="F1686" s="631" t="s">
        <v>2544</v>
      </c>
      <c r="G1686" s="661">
        <v>270</v>
      </c>
      <c r="H1686" s="633">
        <v>2220</v>
      </c>
      <c r="I1686" s="618"/>
      <c r="J1686" s="619" t="s">
        <v>1176</v>
      </c>
      <c r="K1686" s="618"/>
      <c r="L1686" s="619">
        <v>94</v>
      </c>
      <c r="M1686" s="620">
        <v>89</v>
      </c>
      <c r="N1686" s="619"/>
      <c r="O1686" s="619">
        <v>14</v>
      </c>
      <c r="P1686" s="619" t="s">
        <v>760</v>
      </c>
      <c r="Q1686" s="662" t="s">
        <v>1002</v>
      </c>
      <c r="R1686" s="618"/>
      <c r="S1686" s="621" t="s">
        <v>2512</v>
      </c>
      <c r="T1686" s="619" t="s">
        <v>1083</v>
      </c>
    </row>
    <row r="1687" spans="1:20">
      <c r="A1687" s="630">
        <v>2812220</v>
      </c>
      <c r="B1687" s="628"/>
      <c r="C1687" s="623"/>
      <c r="D1687" s="623"/>
      <c r="E1687" s="627" t="s">
        <v>1178</v>
      </c>
      <c r="F1687" s="631" t="s">
        <v>2545</v>
      </c>
      <c r="G1687" s="661">
        <v>281</v>
      </c>
      <c r="H1687" s="633">
        <v>2220</v>
      </c>
      <c r="I1687" s="618"/>
      <c r="J1687" s="619" t="s">
        <v>1178</v>
      </c>
      <c r="K1687" s="618"/>
      <c r="L1687" s="619">
        <v>95</v>
      </c>
      <c r="M1687" s="620">
        <v>90</v>
      </c>
      <c r="N1687" s="619"/>
      <c r="O1687" s="619">
        <v>14</v>
      </c>
      <c r="P1687" s="619" t="s">
        <v>760</v>
      </c>
      <c r="Q1687" s="662" t="s">
        <v>1002</v>
      </c>
      <c r="R1687" s="618"/>
      <c r="S1687" s="621" t="s">
        <v>2512</v>
      </c>
      <c r="T1687" s="619" t="s">
        <v>1085</v>
      </c>
    </row>
    <row r="1688" spans="1:20">
      <c r="A1688" s="630">
        <v>2822220</v>
      </c>
      <c r="B1688" s="628"/>
      <c r="C1688" s="623"/>
      <c r="D1688" s="623"/>
      <c r="E1688" s="627" t="s">
        <v>1180</v>
      </c>
      <c r="F1688" s="631" t="s">
        <v>2546</v>
      </c>
      <c r="G1688" s="661">
        <v>282</v>
      </c>
      <c r="H1688" s="633">
        <v>2220</v>
      </c>
      <c r="I1688" s="618"/>
      <c r="J1688" s="619" t="s">
        <v>1180</v>
      </c>
      <c r="K1688" s="618"/>
      <c r="L1688" s="619">
        <v>95</v>
      </c>
      <c r="M1688" s="620">
        <v>90</v>
      </c>
      <c r="N1688" s="619"/>
      <c r="O1688" s="619">
        <v>14</v>
      </c>
      <c r="P1688" s="619" t="s">
        <v>760</v>
      </c>
      <c r="Q1688" s="662" t="s">
        <v>1002</v>
      </c>
      <c r="R1688" s="618"/>
      <c r="S1688" s="621" t="s">
        <v>2512</v>
      </c>
      <c r="T1688" s="619" t="s">
        <v>1087</v>
      </c>
    </row>
    <row r="1689" spans="1:20">
      <c r="A1689" s="630">
        <v>2902220</v>
      </c>
      <c r="B1689" s="670"/>
      <c r="C1689" s="632"/>
      <c r="D1689" s="632"/>
      <c r="E1689" s="637" t="s">
        <v>1182</v>
      </c>
      <c r="F1689" s="631" t="s">
        <v>2547</v>
      </c>
      <c r="G1689" s="661">
        <v>290</v>
      </c>
      <c r="H1689" s="633">
        <v>2220</v>
      </c>
      <c r="I1689" s="618"/>
      <c r="J1689" s="619" t="s">
        <v>1182</v>
      </c>
      <c r="K1689" s="618"/>
      <c r="L1689" s="619">
        <v>95</v>
      </c>
      <c r="M1689" s="620">
        <v>90</v>
      </c>
      <c r="N1689" s="619"/>
      <c r="O1689" s="619">
        <v>14</v>
      </c>
      <c r="P1689" s="619" t="s">
        <v>760</v>
      </c>
      <c r="Q1689" s="662" t="s">
        <v>1002</v>
      </c>
      <c r="R1689" s="618"/>
      <c r="S1689" s="621" t="s">
        <v>2512</v>
      </c>
      <c r="T1689" s="619" t="s">
        <v>1090</v>
      </c>
    </row>
    <row r="1690" spans="1:20">
      <c r="A1690" s="622"/>
      <c r="B1690" s="628"/>
      <c r="C1690" s="629">
        <v>57</v>
      </c>
      <c r="D1690" s="784" t="s">
        <v>2548</v>
      </c>
      <c r="E1690" s="775"/>
      <c r="F1690" s="626"/>
      <c r="G1690" s="623"/>
      <c r="H1690" s="627"/>
      <c r="I1690" s="618"/>
      <c r="J1690" s="618"/>
      <c r="K1690" s="618"/>
      <c r="L1690" s="618"/>
      <c r="M1690" s="618"/>
      <c r="N1690" s="618"/>
      <c r="O1690" s="618"/>
      <c r="P1690" s="618"/>
      <c r="Q1690" s="662"/>
      <c r="R1690" s="618"/>
      <c r="S1690" s="621"/>
      <c r="T1690" s="618"/>
    </row>
    <row r="1691" spans="1:20">
      <c r="A1691" s="622"/>
      <c r="B1691" s="628"/>
      <c r="C1691" s="623"/>
      <c r="D1691" s="623" t="s">
        <v>756</v>
      </c>
      <c r="E1691" s="627" t="s">
        <v>2549</v>
      </c>
      <c r="F1691" s="626"/>
      <c r="G1691" s="623"/>
      <c r="H1691" s="627"/>
      <c r="I1691" s="618"/>
      <c r="J1691" s="618"/>
      <c r="K1691" s="618"/>
      <c r="L1691" s="618"/>
      <c r="M1691" s="618"/>
      <c r="N1691" s="618"/>
      <c r="O1691" s="618"/>
      <c r="P1691" s="618"/>
      <c r="Q1691" s="662"/>
      <c r="R1691" s="618"/>
      <c r="S1691" s="621"/>
      <c r="T1691" s="618"/>
    </row>
    <row r="1692" spans="1:20">
      <c r="A1692" s="622"/>
      <c r="B1692" s="628"/>
      <c r="C1692" s="623"/>
      <c r="D1692" s="623"/>
      <c r="E1692" s="627" t="s">
        <v>2550</v>
      </c>
      <c r="F1692" s="626"/>
      <c r="G1692" s="623"/>
      <c r="H1692" s="627"/>
      <c r="I1692" s="618"/>
      <c r="J1692" s="618"/>
      <c r="K1692" s="618"/>
      <c r="L1692" s="618"/>
      <c r="M1692" s="618"/>
      <c r="N1692" s="618"/>
      <c r="O1692" s="618"/>
      <c r="P1692" s="618"/>
      <c r="Q1692" s="662"/>
      <c r="R1692" s="618"/>
      <c r="S1692" s="621"/>
      <c r="T1692" s="618"/>
    </row>
    <row r="1693" spans="1:20">
      <c r="A1693" s="630">
        <v>1112231</v>
      </c>
      <c r="B1693" s="628"/>
      <c r="C1693" s="623"/>
      <c r="D1693" s="623"/>
      <c r="E1693" s="627" t="s">
        <v>2214</v>
      </c>
      <c r="F1693" s="631" t="s">
        <v>2551</v>
      </c>
      <c r="G1693" s="661">
        <v>111</v>
      </c>
      <c r="H1693" s="633">
        <v>2231</v>
      </c>
      <c r="I1693" s="618"/>
      <c r="J1693" s="619" t="s">
        <v>2214</v>
      </c>
      <c r="K1693" s="618"/>
      <c r="L1693" s="619">
        <v>81</v>
      </c>
      <c r="M1693" s="620">
        <v>76</v>
      </c>
      <c r="N1693" s="619"/>
      <c r="O1693" s="619">
        <v>14</v>
      </c>
      <c r="P1693" s="619" t="s">
        <v>760</v>
      </c>
      <c r="Q1693" s="662" t="s">
        <v>1002</v>
      </c>
      <c r="R1693" s="618"/>
      <c r="S1693" s="621" t="s">
        <v>2552</v>
      </c>
      <c r="T1693" s="619" t="s">
        <v>2217</v>
      </c>
    </row>
    <row r="1694" spans="1:20">
      <c r="A1694" s="630">
        <v>1122231</v>
      </c>
      <c r="B1694" s="628"/>
      <c r="C1694" s="623"/>
      <c r="D1694" s="623"/>
      <c r="E1694" s="627" t="s">
        <v>2553</v>
      </c>
      <c r="F1694" s="631" t="s">
        <v>2554</v>
      </c>
      <c r="G1694" s="661">
        <v>112</v>
      </c>
      <c r="H1694" s="633">
        <v>2231</v>
      </c>
      <c r="I1694" s="618"/>
      <c r="J1694" s="619" t="s">
        <v>2553</v>
      </c>
      <c r="K1694" s="618"/>
      <c r="L1694" s="619">
        <v>82</v>
      </c>
      <c r="M1694" s="620">
        <v>77</v>
      </c>
      <c r="N1694" s="619"/>
      <c r="O1694" s="619">
        <v>14</v>
      </c>
      <c r="P1694" s="619" t="s">
        <v>760</v>
      </c>
      <c r="Q1694" s="662" t="s">
        <v>1002</v>
      </c>
      <c r="R1694" s="618"/>
      <c r="S1694" s="621" t="s">
        <v>2552</v>
      </c>
      <c r="T1694" s="619" t="s">
        <v>2555</v>
      </c>
    </row>
    <row r="1695" spans="1:20">
      <c r="A1695" s="630">
        <v>1132231</v>
      </c>
      <c r="B1695" s="628"/>
      <c r="C1695" s="623"/>
      <c r="D1695" s="623"/>
      <c r="E1695" s="627" t="s">
        <v>2556</v>
      </c>
      <c r="F1695" s="631" t="s">
        <v>2557</v>
      </c>
      <c r="G1695" s="661">
        <v>113</v>
      </c>
      <c r="H1695" s="633">
        <v>2231</v>
      </c>
      <c r="I1695" s="618"/>
      <c r="J1695" s="619" t="s">
        <v>2556</v>
      </c>
      <c r="K1695" s="618"/>
      <c r="L1695" s="619">
        <v>83</v>
      </c>
      <c r="M1695" s="620">
        <v>78</v>
      </c>
      <c r="N1695" s="619"/>
      <c r="O1695" s="619">
        <v>14</v>
      </c>
      <c r="P1695" s="619" t="s">
        <v>760</v>
      </c>
      <c r="Q1695" s="662" t="s">
        <v>1002</v>
      </c>
      <c r="R1695" s="618"/>
      <c r="S1695" s="621" t="s">
        <v>2552</v>
      </c>
      <c r="T1695" s="619" t="s">
        <v>2220</v>
      </c>
    </row>
    <row r="1696" spans="1:20">
      <c r="A1696" s="630">
        <v>1002231</v>
      </c>
      <c r="B1696" s="628"/>
      <c r="C1696" s="623"/>
      <c r="D1696" s="623"/>
      <c r="E1696" s="627" t="s">
        <v>2223</v>
      </c>
      <c r="F1696" s="631" t="s">
        <v>2558</v>
      </c>
      <c r="G1696" s="661">
        <v>100</v>
      </c>
      <c r="H1696" s="633">
        <v>2231</v>
      </c>
      <c r="I1696" s="618"/>
      <c r="J1696" s="619" t="s">
        <v>2223</v>
      </c>
      <c r="K1696" s="618"/>
      <c r="L1696" s="619">
        <v>86</v>
      </c>
      <c r="M1696" s="620">
        <v>81</v>
      </c>
      <c r="N1696" s="619"/>
      <c r="O1696" s="619">
        <v>14</v>
      </c>
      <c r="P1696" s="619" t="s">
        <v>760</v>
      </c>
      <c r="Q1696" s="662" t="s">
        <v>1002</v>
      </c>
      <c r="R1696" s="618"/>
      <c r="S1696" s="621" t="s">
        <v>2552</v>
      </c>
      <c r="T1696" s="619" t="s">
        <v>1946</v>
      </c>
    </row>
    <row r="1697" spans="1:20">
      <c r="A1697" s="630">
        <v>1402231</v>
      </c>
      <c r="B1697" s="628"/>
      <c r="C1697" s="623"/>
      <c r="D1697" s="623"/>
      <c r="E1697" s="627" t="s">
        <v>2225</v>
      </c>
      <c r="F1697" s="631" t="s">
        <v>2559</v>
      </c>
      <c r="G1697" s="661">
        <v>140</v>
      </c>
      <c r="H1697" s="633">
        <v>2231</v>
      </c>
      <c r="I1697" s="618"/>
      <c r="J1697" s="619" t="s">
        <v>2225</v>
      </c>
      <c r="K1697" s="618"/>
      <c r="L1697" s="619">
        <v>86</v>
      </c>
      <c r="M1697" s="620">
        <v>81</v>
      </c>
      <c r="N1697" s="619"/>
      <c r="O1697" s="619">
        <v>14</v>
      </c>
      <c r="P1697" s="619" t="s">
        <v>760</v>
      </c>
      <c r="Q1697" s="662" t="s">
        <v>1002</v>
      </c>
      <c r="R1697" s="618"/>
      <c r="S1697" s="621" t="s">
        <v>2552</v>
      </c>
      <c r="T1697" s="619" t="s">
        <v>1017</v>
      </c>
    </row>
    <row r="1698" spans="1:20">
      <c r="A1698" s="630">
        <v>1502231</v>
      </c>
      <c r="B1698" s="628"/>
      <c r="C1698" s="623"/>
      <c r="D1698" s="623"/>
      <c r="E1698" s="627" t="s">
        <v>2560</v>
      </c>
      <c r="F1698" s="631" t="s">
        <v>2561</v>
      </c>
      <c r="G1698" s="661">
        <v>150</v>
      </c>
      <c r="H1698" s="633">
        <v>2231</v>
      </c>
      <c r="I1698" s="618"/>
      <c r="J1698" s="619" t="s">
        <v>2560</v>
      </c>
      <c r="K1698" s="618"/>
      <c r="L1698" s="619">
        <v>86</v>
      </c>
      <c r="M1698" s="620">
        <v>81</v>
      </c>
      <c r="N1698" s="619"/>
      <c r="O1698" s="619">
        <v>14</v>
      </c>
      <c r="P1698" s="619" t="s">
        <v>760</v>
      </c>
      <c r="Q1698" s="662" t="s">
        <v>1002</v>
      </c>
      <c r="R1698" s="618"/>
      <c r="S1698" s="621" t="s">
        <v>2552</v>
      </c>
      <c r="T1698" s="619" t="s">
        <v>2562</v>
      </c>
    </row>
    <row r="1699" spans="1:20">
      <c r="A1699" s="630">
        <v>3002231</v>
      </c>
      <c r="B1699" s="628"/>
      <c r="C1699" s="623"/>
      <c r="D1699" s="623"/>
      <c r="E1699" s="627" t="s">
        <v>2563</v>
      </c>
      <c r="F1699" s="631" t="s">
        <v>2564</v>
      </c>
      <c r="G1699" s="661">
        <v>300</v>
      </c>
      <c r="H1699" s="633">
        <v>2231</v>
      </c>
      <c r="I1699" s="618"/>
      <c r="J1699" s="619" t="s">
        <v>2563</v>
      </c>
      <c r="K1699" s="618"/>
      <c r="L1699" s="619">
        <v>101</v>
      </c>
      <c r="M1699" s="620">
        <v>96</v>
      </c>
      <c r="N1699" s="619"/>
      <c r="O1699" s="619">
        <v>14</v>
      </c>
      <c r="P1699" s="619" t="s">
        <v>760</v>
      </c>
      <c r="Q1699" s="662"/>
      <c r="R1699" s="618"/>
      <c r="S1699" s="621" t="s">
        <v>2552</v>
      </c>
      <c r="T1699" s="619" t="s">
        <v>2565</v>
      </c>
    </row>
    <row r="1700" spans="1:20">
      <c r="A1700" s="622"/>
      <c r="B1700" s="628"/>
      <c r="C1700" s="623"/>
      <c r="D1700" s="623"/>
      <c r="E1700" s="627" t="s">
        <v>2230</v>
      </c>
      <c r="F1700" s="626"/>
      <c r="G1700" s="623"/>
      <c r="H1700" s="627"/>
      <c r="I1700" s="618"/>
      <c r="J1700" s="618"/>
      <c r="K1700" s="618"/>
      <c r="L1700" s="618"/>
      <c r="M1700" s="618"/>
      <c r="N1700" s="618"/>
      <c r="O1700" s="618"/>
      <c r="P1700" s="618"/>
      <c r="Q1700" s="662"/>
      <c r="R1700" s="618"/>
      <c r="S1700" s="621"/>
      <c r="T1700" s="618"/>
    </row>
    <row r="1701" spans="1:20">
      <c r="A1701" s="630">
        <v>4302231</v>
      </c>
      <c r="B1701" s="628"/>
      <c r="C1701" s="623"/>
      <c r="D1701" s="623"/>
      <c r="E1701" s="627" t="s">
        <v>2231</v>
      </c>
      <c r="F1701" s="631" t="s">
        <v>2566</v>
      </c>
      <c r="G1701" s="661">
        <v>430</v>
      </c>
      <c r="H1701" s="633">
        <v>2231</v>
      </c>
      <c r="I1701" s="618"/>
      <c r="J1701" s="619" t="s">
        <v>2231</v>
      </c>
      <c r="K1701" s="618"/>
      <c r="L1701" s="619">
        <v>107</v>
      </c>
      <c r="M1701" s="620">
        <v>102</v>
      </c>
      <c r="N1701" s="619"/>
      <c r="O1701" s="619">
        <v>14</v>
      </c>
      <c r="P1701" s="619" t="s">
        <v>760</v>
      </c>
      <c r="Q1701" s="662"/>
      <c r="R1701" s="618"/>
      <c r="S1701" s="621" t="s">
        <v>2552</v>
      </c>
      <c r="T1701" s="619" t="s">
        <v>1021</v>
      </c>
    </row>
    <row r="1702" spans="1:20">
      <c r="A1702" s="630">
        <v>4422231</v>
      </c>
      <c r="B1702" s="628"/>
      <c r="C1702" s="623"/>
      <c r="D1702" s="623"/>
      <c r="E1702" s="627" t="s">
        <v>2233</v>
      </c>
      <c r="F1702" s="631" t="s">
        <v>2567</v>
      </c>
      <c r="G1702" s="661">
        <v>442</v>
      </c>
      <c r="H1702" s="633">
        <v>2231</v>
      </c>
      <c r="I1702" s="618"/>
      <c r="J1702" s="619" t="s">
        <v>2233</v>
      </c>
      <c r="K1702" s="618"/>
      <c r="L1702" s="619">
        <v>106</v>
      </c>
      <c r="M1702" s="620">
        <v>101</v>
      </c>
      <c r="N1702" s="619"/>
      <c r="O1702" s="619">
        <v>14</v>
      </c>
      <c r="P1702" s="619" t="s">
        <v>760</v>
      </c>
      <c r="Q1702" s="662"/>
      <c r="R1702" s="618"/>
      <c r="S1702" s="621" t="s">
        <v>2552</v>
      </c>
      <c r="T1702" s="619" t="s">
        <v>1023</v>
      </c>
    </row>
    <row r="1703" spans="1:20">
      <c r="A1703" s="630">
        <v>4002231</v>
      </c>
      <c r="B1703" s="628"/>
      <c r="C1703" s="623"/>
      <c r="D1703" s="623"/>
      <c r="E1703" s="627" t="s">
        <v>2235</v>
      </c>
      <c r="F1703" s="631" t="s">
        <v>2568</v>
      </c>
      <c r="G1703" s="661">
        <v>400</v>
      </c>
      <c r="H1703" s="633">
        <v>2231</v>
      </c>
      <c r="I1703" s="618"/>
      <c r="J1703" s="619" t="s">
        <v>2235</v>
      </c>
      <c r="K1703" s="618"/>
      <c r="L1703" s="619">
        <v>108</v>
      </c>
      <c r="M1703" s="620">
        <v>103</v>
      </c>
      <c r="N1703" s="619"/>
      <c r="O1703" s="619">
        <v>14</v>
      </c>
      <c r="P1703" s="619" t="s">
        <v>760</v>
      </c>
      <c r="Q1703" s="662"/>
      <c r="R1703" s="618"/>
      <c r="S1703" s="621" t="s">
        <v>2552</v>
      </c>
      <c r="T1703" s="619" t="s">
        <v>2237</v>
      </c>
    </row>
    <row r="1704" spans="1:20">
      <c r="A1704" s="622"/>
      <c r="B1704" s="628"/>
      <c r="C1704" s="623"/>
      <c r="D1704" s="623"/>
      <c r="E1704" s="627" t="s">
        <v>1394</v>
      </c>
      <c r="F1704" s="626"/>
      <c r="G1704" s="623"/>
      <c r="H1704" s="627"/>
      <c r="I1704" s="618"/>
      <c r="J1704" s="618"/>
      <c r="K1704" s="618"/>
      <c r="L1704" s="618"/>
      <c r="M1704" s="618"/>
      <c r="N1704" s="618"/>
      <c r="O1704" s="618"/>
      <c r="P1704" s="618"/>
      <c r="Q1704" s="662"/>
      <c r="R1704" s="618"/>
      <c r="S1704" s="621"/>
      <c r="T1704" s="618"/>
    </row>
    <row r="1705" spans="1:20">
      <c r="A1705" s="630">
        <v>5822231</v>
      </c>
      <c r="B1705" s="628"/>
      <c r="C1705" s="623"/>
      <c r="D1705" s="623"/>
      <c r="E1705" s="627" t="s">
        <v>2238</v>
      </c>
      <c r="F1705" s="631" t="s">
        <v>2569</v>
      </c>
      <c r="G1705" s="661">
        <v>582</v>
      </c>
      <c r="H1705" s="633">
        <v>2231</v>
      </c>
      <c r="I1705" s="618"/>
      <c r="J1705" s="619" t="s">
        <v>2238</v>
      </c>
      <c r="K1705" s="618"/>
      <c r="L1705" s="619">
        <v>118</v>
      </c>
      <c r="M1705" s="620">
        <v>109</v>
      </c>
      <c r="N1705" s="619"/>
      <c r="O1705" s="619">
        <v>14</v>
      </c>
      <c r="P1705" s="619" t="s">
        <v>760</v>
      </c>
      <c r="Q1705" s="662"/>
      <c r="R1705" s="618"/>
      <c r="S1705" s="621" t="s">
        <v>2552</v>
      </c>
      <c r="T1705" s="619" t="s">
        <v>1037</v>
      </c>
    </row>
    <row r="1706" spans="1:20">
      <c r="A1706" s="630">
        <v>5002231</v>
      </c>
      <c r="B1706" s="628"/>
      <c r="C1706" s="623"/>
      <c r="D1706" s="623"/>
      <c r="E1706" s="627" t="s">
        <v>2240</v>
      </c>
      <c r="F1706" s="631" t="s">
        <v>2570</v>
      </c>
      <c r="G1706" s="661">
        <v>500</v>
      </c>
      <c r="H1706" s="633">
        <v>2231</v>
      </c>
      <c r="I1706" s="618"/>
      <c r="J1706" s="619" t="s">
        <v>2240</v>
      </c>
      <c r="K1706" s="618"/>
      <c r="L1706" s="619">
        <v>119</v>
      </c>
      <c r="M1706" s="620">
        <v>110</v>
      </c>
      <c r="N1706" s="619"/>
      <c r="O1706" s="619">
        <v>14</v>
      </c>
      <c r="P1706" s="619" t="s">
        <v>760</v>
      </c>
      <c r="Q1706" s="662"/>
      <c r="R1706" s="618"/>
      <c r="S1706" s="621" t="s">
        <v>2552</v>
      </c>
      <c r="T1706" s="619" t="s">
        <v>252</v>
      </c>
    </row>
    <row r="1707" spans="1:20">
      <c r="A1707" s="622"/>
      <c r="B1707" s="628"/>
      <c r="C1707" s="623"/>
      <c r="D1707" s="623"/>
      <c r="E1707" s="627" t="s">
        <v>2242</v>
      </c>
      <c r="F1707" s="626"/>
      <c r="G1707" s="623"/>
      <c r="H1707" s="627"/>
      <c r="I1707" s="618"/>
      <c r="J1707" s="618"/>
      <c r="K1707" s="618"/>
      <c r="L1707" s="618"/>
      <c r="M1707" s="618"/>
      <c r="N1707" s="618"/>
      <c r="O1707" s="618"/>
      <c r="P1707" s="618"/>
      <c r="Q1707" s="662"/>
      <c r="R1707" s="618"/>
      <c r="S1707" s="621"/>
      <c r="T1707" s="618"/>
    </row>
    <row r="1708" spans="1:20">
      <c r="A1708" s="630">
        <v>6152231</v>
      </c>
      <c r="B1708" s="628"/>
      <c r="C1708" s="623"/>
      <c r="D1708" s="623"/>
      <c r="E1708" s="627" t="s">
        <v>2243</v>
      </c>
      <c r="F1708" s="631" t="s">
        <v>2571</v>
      </c>
      <c r="G1708" s="661">
        <v>615</v>
      </c>
      <c r="H1708" s="633">
        <v>2231</v>
      </c>
      <c r="I1708" s="618"/>
      <c r="J1708" s="619" t="s">
        <v>2243</v>
      </c>
      <c r="K1708" s="618"/>
      <c r="L1708" s="619">
        <v>126</v>
      </c>
      <c r="M1708" s="620">
        <v>117</v>
      </c>
      <c r="N1708" s="619"/>
      <c r="O1708" s="619">
        <v>14</v>
      </c>
      <c r="P1708" s="619" t="s">
        <v>760</v>
      </c>
      <c r="Q1708" s="662" t="s">
        <v>1043</v>
      </c>
      <c r="R1708" s="618"/>
      <c r="S1708" s="621" t="s">
        <v>2552</v>
      </c>
      <c r="T1708" s="619" t="s">
        <v>1041</v>
      </c>
    </row>
    <row r="1709" spans="1:20">
      <c r="A1709" s="630">
        <v>6102231</v>
      </c>
      <c r="B1709" s="628"/>
      <c r="C1709" s="623"/>
      <c r="D1709" s="623"/>
      <c r="E1709" s="627" t="s">
        <v>2245</v>
      </c>
      <c r="F1709" s="631" t="s">
        <v>2572</v>
      </c>
      <c r="G1709" s="661">
        <v>610</v>
      </c>
      <c r="H1709" s="633">
        <v>2231</v>
      </c>
      <c r="I1709" s="618"/>
      <c r="J1709" s="619" t="s">
        <v>2245</v>
      </c>
      <c r="K1709" s="618"/>
      <c r="L1709" s="619">
        <v>122</v>
      </c>
      <c r="M1709" s="620">
        <v>113</v>
      </c>
      <c r="N1709" s="619"/>
      <c r="O1709" s="619">
        <v>14</v>
      </c>
      <c r="P1709" s="619" t="s">
        <v>760</v>
      </c>
      <c r="Q1709" s="662" t="s">
        <v>1043</v>
      </c>
      <c r="R1709" s="618"/>
      <c r="S1709" s="621" t="s">
        <v>2552</v>
      </c>
      <c r="T1709" s="619" t="s">
        <v>39</v>
      </c>
    </row>
    <row r="1710" spans="1:20">
      <c r="A1710" s="630">
        <v>6002231</v>
      </c>
      <c r="B1710" s="628"/>
      <c r="C1710" s="623"/>
      <c r="D1710" s="623"/>
      <c r="E1710" s="627" t="s">
        <v>2247</v>
      </c>
      <c r="F1710" s="631" t="s">
        <v>2573</v>
      </c>
      <c r="G1710" s="661">
        <v>600</v>
      </c>
      <c r="H1710" s="633">
        <v>2231</v>
      </c>
      <c r="I1710" s="618"/>
      <c r="J1710" s="619" t="s">
        <v>2247</v>
      </c>
      <c r="K1710" s="618"/>
      <c r="L1710" s="619">
        <v>126</v>
      </c>
      <c r="M1710" s="620">
        <v>117</v>
      </c>
      <c r="N1710" s="619"/>
      <c r="O1710" s="619">
        <v>14</v>
      </c>
      <c r="P1710" s="619" t="s">
        <v>760</v>
      </c>
      <c r="Q1710" s="662"/>
      <c r="R1710" s="618"/>
      <c r="S1710" s="621" t="s">
        <v>2552</v>
      </c>
      <c r="T1710" s="619" t="s">
        <v>1048</v>
      </c>
    </row>
    <row r="1711" spans="1:20">
      <c r="A1711" s="622"/>
      <c r="B1711" s="628"/>
      <c r="C1711" s="623"/>
      <c r="D1711" s="623"/>
      <c r="E1711" s="627" t="s">
        <v>2249</v>
      </c>
      <c r="F1711" s="626"/>
      <c r="G1711" s="623"/>
      <c r="H1711" s="627"/>
      <c r="I1711" s="618"/>
      <c r="J1711" s="618"/>
      <c r="K1711" s="618"/>
      <c r="L1711" s="618"/>
      <c r="M1711" s="618"/>
      <c r="N1711" s="618"/>
      <c r="O1711" s="618"/>
      <c r="P1711" s="618"/>
      <c r="Q1711" s="662"/>
      <c r="R1711" s="618"/>
      <c r="S1711" s="621"/>
      <c r="T1711" s="618"/>
    </row>
    <row r="1712" spans="1:20">
      <c r="A1712" s="630">
        <v>7342231</v>
      </c>
      <c r="B1712" s="628"/>
      <c r="C1712" s="623"/>
      <c r="D1712" s="623"/>
      <c r="E1712" s="627" t="s">
        <v>2250</v>
      </c>
      <c r="F1712" s="631" t="s">
        <v>2574</v>
      </c>
      <c r="G1712" s="661">
        <v>734</v>
      </c>
      <c r="H1712" s="633">
        <v>2231</v>
      </c>
      <c r="I1712" s="618"/>
      <c r="J1712" s="619" t="s">
        <v>2250</v>
      </c>
      <c r="K1712" s="618"/>
      <c r="L1712" s="619">
        <v>131</v>
      </c>
      <c r="M1712" s="620">
        <v>122</v>
      </c>
      <c r="N1712" s="619"/>
      <c r="O1712" s="619">
        <v>14</v>
      </c>
      <c r="P1712" s="619" t="s">
        <v>760</v>
      </c>
      <c r="Q1712" s="662"/>
      <c r="R1712" s="618"/>
      <c r="S1712" s="621" t="s">
        <v>2552</v>
      </c>
      <c r="T1712" s="619" t="s">
        <v>1051</v>
      </c>
    </row>
    <row r="1713" spans="1:20">
      <c r="A1713" s="630">
        <v>7352231</v>
      </c>
      <c r="B1713" s="628"/>
      <c r="C1713" s="623"/>
      <c r="D1713" s="623"/>
      <c r="E1713" s="627" t="s">
        <v>2252</v>
      </c>
      <c r="F1713" s="631" t="s">
        <v>2575</v>
      </c>
      <c r="G1713" s="661">
        <v>735</v>
      </c>
      <c r="H1713" s="633">
        <v>2231</v>
      </c>
      <c r="I1713" s="618"/>
      <c r="J1713" s="619" t="s">
        <v>2252</v>
      </c>
      <c r="K1713" s="618"/>
      <c r="L1713" s="619">
        <v>131</v>
      </c>
      <c r="M1713" s="620">
        <v>122</v>
      </c>
      <c r="N1713" s="619"/>
      <c r="O1713" s="619">
        <v>14</v>
      </c>
      <c r="P1713" s="619" t="s">
        <v>760</v>
      </c>
      <c r="Q1713" s="662"/>
      <c r="R1713" s="618"/>
      <c r="S1713" s="621" t="s">
        <v>2552</v>
      </c>
      <c r="T1713" s="619" t="s">
        <v>1053</v>
      </c>
    </row>
    <row r="1714" spans="1:20">
      <c r="A1714" s="630">
        <v>7302231</v>
      </c>
      <c r="B1714" s="628"/>
      <c r="C1714" s="623"/>
      <c r="D1714" s="623"/>
      <c r="E1714" s="627" t="s">
        <v>2254</v>
      </c>
      <c r="F1714" s="631" t="s">
        <v>2576</v>
      </c>
      <c r="G1714" s="661">
        <v>730</v>
      </c>
      <c r="H1714" s="633">
        <v>2231</v>
      </c>
      <c r="I1714" s="618"/>
      <c r="J1714" s="619" t="s">
        <v>2254</v>
      </c>
      <c r="K1714" s="618"/>
      <c r="L1714" s="619">
        <v>131</v>
      </c>
      <c r="M1714" s="620">
        <v>122</v>
      </c>
      <c r="N1714" s="619"/>
      <c r="O1714" s="619">
        <v>14</v>
      </c>
      <c r="P1714" s="619" t="s">
        <v>760</v>
      </c>
      <c r="Q1714" s="662"/>
      <c r="R1714" s="618"/>
      <c r="S1714" s="621" t="s">
        <v>2552</v>
      </c>
      <c r="T1714" s="619" t="s">
        <v>1055</v>
      </c>
    </row>
    <row r="1715" spans="1:20">
      <c r="A1715" s="630">
        <v>7002231</v>
      </c>
      <c r="B1715" s="628"/>
      <c r="C1715" s="623"/>
      <c r="D1715" s="623"/>
      <c r="E1715" s="627" t="s">
        <v>2256</v>
      </c>
      <c r="F1715" s="631" t="s">
        <v>2577</v>
      </c>
      <c r="G1715" s="661">
        <v>700</v>
      </c>
      <c r="H1715" s="633">
        <v>2231</v>
      </c>
      <c r="I1715" s="618"/>
      <c r="J1715" s="619" t="s">
        <v>2256</v>
      </c>
      <c r="K1715" s="618"/>
      <c r="L1715" s="619">
        <v>132</v>
      </c>
      <c r="M1715" s="620">
        <v>123</v>
      </c>
      <c r="N1715" s="619"/>
      <c r="O1715" s="619">
        <v>14</v>
      </c>
      <c r="P1715" s="619" t="s">
        <v>760</v>
      </c>
      <c r="Q1715" s="662"/>
      <c r="R1715" s="618"/>
      <c r="S1715" s="621" t="s">
        <v>2552</v>
      </c>
      <c r="T1715" s="619" t="s">
        <v>1057</v>
      </c>
    </row>
    <row r="1716" spans="1:20">
      <c r="A1716" s="622"/>
      <c r="B1716" s="628"/>
      <c r="C1716" s="623"/>
      <c r="D1716" s="623"/>
      <c r="E1716" s="627" t="s">
        <v>2258</v>
      </c>
      <c r="F1716" s="626"/>
      <c r="G1716" s="623"/>
      <c r="H1716" s="627"/>
      <c r="I1716" s="618"/>
      <c r="J1716" s="618"/>
      <c r="K1716" s="618"/>
      <c r="L1716" s="618"/>
      <c r="M1716" s="618"/>
      <c r="N1716" s="618"/>
      <c r="O1716" s="618"/>
      <c r="P1716" s="618"/>
      <c r="Q1716" s="662"/>
      <c r="R1716" s="618"/>
      <c r="S1716" s="621"/>
      <c r="T1716" s="618"/>
    </row>
    <row r="1717" spans="1:20">
      <c r="A1717" s="630">
        <v>8952231</v>
      </c>
      <c r="B1717" s="628"/>
      <c r="C1717" s="623"/>
      <c r="D1717" s="623"/>
      <c r="E1717" s="627" t="s">
        <v>2259</v>
      </c>
      <c r="F1717" s="631" t="s">
        <v>2578</v>
      </c>
      <c r="G1717" s="661">
        <v>895</v>
      </c>
      <c r="H1717" s="633">
        <v>2231</v>
      </c>
      <c r="I1717" s="618"/>
      <c r="J1717" s="619" t="s">
        <v>2259</v>
      </c>
      <c r="K1717" s="618"/>
      <c r="L1717" s="619">
        <v>139</v>
      </c>
      <c r="M1717" s="620">
        <v>129</v>
      </c>
      <c r="N1717" s="619"/>
      <c r="O1717" s="619">
        <v>14</v>
      </c>
      <c r="P1717" s="619" t="s">
        <v>760</v>
      </c>
      <c r="Q1717" s="662"/>
      <c r="R1717" s="618"/>
      <c r="S1717" s="621" t="s">
        <v>2552</v>
      </c>
      <c r="T1717" s="619" t="s">
        <v>2261</v>
      </c>
    </row>
    <row r="1718" spans="1:20">
      <c r="A1718" s="630">
        <v>8002231</v>
      </c>
      <c r="B1718" s="628"/>
      <c r="C1718" s="623"/>
      <c r="D1718" s="623"/>
      <c r="E1718" s="627" t="s">
        <v>2262</v>
      </c>
      <c r="F1718" s="631" t="s">
        <v>2579</v>
      </c>
      <c r="G1718" s="661">
        <v>800</v>
      </c>
      <c r="H1718" s="633">
        <v>2231</v>
      </c>
      <c r="I1718" s="618"/>
      <c r="J1718" s="619" t="s">
        <v>2262</v>
      </c>
      <c r="K1718" s="618"/>
      <c r="L1718" s="619">
        <v>139</v>
      </c>
      <c r="M1718" s="620">
        <v>129</v>
      </c>
      <c r="N1718" s="619"/>
      <c r="O1718" s="619">
        <v>14</v>
      </c>
      <c r="P1718" s="619" t="s">
        <v>760</v>
      </c>
      <c r="Q1718" s="662"/>
      <c r="R1718" s="618"/>
      <c r="S1718" s="621" t="s">
        <v>2552</v>
      </c>
      <c r="T1718" s="619" t="s">
        <v>1061</v>
      </c>
    </row>
    <row r="1719" spans="1:20">
      <c r="A1719" s="622"/>
      <c r="B1719" s="628"/>
      <c r="C1719" s="623"/>
      <c r="D1719" s="623"/>
      <c r="E1719" s="627" t="s">
        <v>2264</v>
      </c>
      <c r="F1719" s="626"/>
      <c r="G1719" s="623"/>
      <c r="H1719" s="627"/>
      <c r="I1719" s="618"/>
      <c r="J1719" s="618"/>
      <c r="K1719" s="618"/>
      <c r="L1719" s="618"/>
      <c r="M1719" s="618"/>
      <c r="N1719" s="618"/>
      <c r="O1719" s="618"/>
      <c r="P1719" s="618"/>
      <c r="Q1719" s="662"/>
      <c r="R1719" s="618"/>
      <c r="S1719" s="621"/>
      <c r="T1719" s="618"/>
    </row>
    <row r="1720" spans="1:20">
      <c r="A1720" s="630">
        <v>2102231</v>
      </c>
      <c r="B1720" s="628"/>
      <c r="C1720" s="623"/>
      <c r="D1720" s="623"/>
      <c r="E1720" s="627" t="s">
        <v>2265</v>
      </c>
      <c r="F1720" s="631" t="s">
        <v>2580</v>
      </c>
      <c r="G1720" s="661">
        <v>210</v>
      </c>
      <c r="H1720" s="633">
        <v>2231</v>
      </c>
      <c r="I1720" s="618"/>
      <c r="J1720" s="619" t="s">
        <v>2265</v>
      </c>
      <c r="K1720" s="618"/>
      <c r="L1720" s="619">
        <v>89</v>
      </c>
      <c r="M1720" s="620">
        <v>84</v>
      </c>
      <c r="N1720" s="619"/>
      <c r="O1720" s="619">
        <v>14</v>
      </c>
      <c r="P1720" s="619" t="s">
        <v>760</v>
      </c>
      <c r="Q1720" s="662" t="s">
        <v>1002</v>
      </c>
      <c r="R1720" s="618"/>
      <c r="S1720" s="621" t="s">
        <v>2552</v>
      </c>
      <c r="T1720" s="619" t="s">
        <v>1064</v>
      </c>
    </row>
    <row r="1721" spans="1:20">
      <c r="A1721" s="630">
        <v>2202231</v>
      </c>
      <c r="B1721" s="628"/>
      <c r="C1721" s="623"/>
      <c r="D1721" s="623"/>
      <c r="E1721" s="627" t="s">
        <v>2267</v>
      </c>
      <c r="F1721" s="631" t="s">
        <v>2581</v>
      </c>
      <c r="G1721" s="661">
        <v>220</v>
      </c>
      <c r="H1721" s="633">
        <v>2231</v>
      </c>
      <c r="I1721" s="618"/>
      <c r="J1721" s="619" t="s">
        <v>2267</v>
      </c>
      <c r="K1721" s="618"/>
      <c r="L1721" s="619">
        <v>90</v>
      </c>
      <c r="M1721" s="620">
        <v>85</v>
      </c>
      <c r="N1721" s="619"/>
      <c r="O1721" s="619">
        <v>14</v>
      </c>
      <c r="P1721" s="619" t="s">
        <v>760</v>
      </c>
      <c r="Q1721" s="662" t="s">
        <v>1002</v>
      </c>
      <c r="R1721" s="618"/>
      <c r="S1721" s="621" t="s">
        <v>2552</v>
      </c>
      <c r="T1721" s="619" t="s">
        <v>1066</v>
      </c>
    </row>
    <row r="1722" spans="1:20">
      <c r="A1722" s="630">
        <v>2252231</v>
      </c>
      <c r="B1722" s="628"/>
      <c r="C1722" s="623"/>
      <c r="D1722" s="623"/>
      <c r="E1722" s="627" t="s">
        <v>2269</v>
      </c>
      <c r="F1722" s="631" t="s">
        <v>2582</v>
      </c>
      <c r="G1722" s="661">
        <v>225</v>
      </c>
      <c r="H1722" s="633">
        <v>2231</v>
      </c>
      <c r="I1722" s="618"/>
      <c r="J1722" s="619" t="s">
        <v>2269</v>
      </c>
      <c r="K1722" s="618"/>
      <c r="L1722" s="619">
        <v>91</v>
      </c>
      <c r="M1722" s="620">
        <v>86</v>
      </c>
      <c r="N1722" s="619"/>
      <c r="O1722" s="619">
        <v>14</v>
      </c>
      <c r="P1722" s="619" t="s">
        <v>760</v>
      </c>
      <c r="Q1722" s="662" t="s">
        <v>1002</v>
      </c>
      <c r="R1722" s="618"/>
      <c r="S1722" s="621" t="s">
        <v>2552</v>
      </c>
      <c r="T1722" s="619" t="s">
        <v>23</v>
      </c>
    </row>
    <row r="1723" spans="1:20">
      <c r="A1723" s="622"/>
      <c r="B1723" s="628"/>
      <c r="C1723" s="623"/>
      <c r="D1723" s="623"/>
      <c r="E1723" s="627" t="s">
        <v>2271</v>
      </c>
      <c r="F1723" s="626"/>
      <c r="G1723" s="623"/>
      <c r="H1723" s="627"/>
      <c r="I1723" s="618"/>
      <c r="J1723" s="618"/>
      <c r="K1723" s="618"/>
      <c r="L1723" s="618"/>
      <c r="M1723" s="618"/>
      <c r="N1723" s="618"/>
      <c r="O1723" s="618"/>
      <c r="P1723" s="618"/>
      <c r="Q1723" s="662"/>
      <c r="R1723" s="618"/>
      <c r="S1723" s="621"/>
      <c r="T1723" s="618"/>
    </row>
    <row r="1724" spans="1:20">
      <c r="A1724" s="630">
        <v>2312231</v>
      </c>
      <c r="B1724" s="628"/>
      <c r="C1724" s="623"/>
      <c r="D1724" s="623"/>
      <c r="E1724" s="627" t="s">
        <v>2272</v>
      </c>
      <c r="F1724" s="631" t="s">
        <v>2583</v>
      </c>
      <c r="G1724" s="661">
        <v>231</v>
      </c>
      <c r="H1724" s="633">
        <v>2231</v>
      </c>
      <c r="I1724" s="618"/>
      <c r="J1724" s="619" t="s">
        <v>2272</v>
      </c>
      <c r="K1724" s="618"/>
      <c r="L1724" s="619">
        <v>92</v>
      </c>
      <c r="M1724" s="620">
        <v>87</v>
      </c>
      <c r="N1724" s="619"/>
      <c r="O1724" s="619">
        <v>14</v>
      </c>
      <c r="P1724" s="619" t="s">
        <v>760</v>
      </c>
      <c r="Q1724" s="662" t="s">
        <v>1002</v>
      </c>
      <c r="R1724" s="618"/>
      <c r="S1724" s="621" t="s">
        <v>2552</v>
      </c>
      <c r="T1724" s="619" t="s">
        <v>1072</v>
      </c>
    </row>
    <row r="1725" spans="1:20">
      <c r="A1725" s="630">
        <v>2332231</v>
      </c>
      <c r="B1725" s="628"/>
      <c r="C1725" s="623"/>
      <c r="D1725" s="623"/>
      <c r="E1725" s="627" t="s">
        <v>2274</v>
      </c>
      <c r="F1725" s="631" t="s">
        <v>2584</v>
      </c>
      <c r="G1725" s="661">
        <v>233</v>
      </c>
      <c r="H1725" s="633">
        <v>2231</v>
      </c>
      <c r="I1725" s="618"/>
      <c r="J1725" s="619" t="s">
        <v>2274</v>
      </c>
      <c r="K1725" s="618"/>
      <c r="L1725" s="619">
        <v>92</v>
      </c>
      <c r="M1725" s="620">
        <v>87</v>
      </c>
      <c r="N1725" s="619"/>
      <c r="O1725" s="619">
        <v>14</v>
      </c>
      <c r="P1725" s="619" t="s">
        <v>760</v>
      </c>
      <c r="Q1725" s="662" t="s">
        <v>1002</v>
      </c>
      <c r="R1725" s="618"/>
      <c r="S1725" s="621" t="s">
        <v>2552</v>
      </c>
      <c r="T1725" s="619" t="s">
        <v>2276</v>
      </c>
    </row>
    <row r="1726" spans="1:20">
      <c r="A1726" s="630">
        <v>2392231</v>
      </c>
      <c r="B1726" s="628"/>
      <c r="C1726" s="623"/>
      <c r="D1726" s="623"/>
      <c r="E1726" s="627" t="s">
        <v>2277</v>
      </c>
      <c r="F1726" s="631" t="s">
        <v>2585</v>
      </c>
      <c r="G1726" s="661">
        <v>239</v>
      </c>
      <c r="H1726" s="633">
        <v>2231</v>
      </c>
      <c r="I1726" s="618"/>
      <c r="J1726" s="619" t="s">
        <v>2277</v>
      </c>
      <c r="K1726" s="618"/>
      <c r="L1726" s="619">
        <v>92</v>
      </c>
      <c r="M1726" s="620">
        <v>87</v>
      </c>
      <c r="N1726" s="619"/>
      <c r="O1726" s="619">
        <v>14</v>
      </c>
      <c r="P1726" s="619" t="s">
        <v>760</v>
      </c>
      <c r="Q1726" s="662" t="s">
        <v>1002</v>
      </c>
      <c r="R1726" s="618"/>
      <c r="S1726" s="621" t="s">
        <v>2552</v>
      </c>
      <c r="T1726" s="619" t="s">
        <v>1078</v>
      </c>
    </row>
    <row r="1727" spans="1:20">
      <c r="A1727" s="630">
        <v>2402231</v>
      </c>
      <c r="B1727" s="628"/>
      <c r="C1727" s="623"/>
      <c r="D1727" s="623"/>
      <c r="E1727" s="627" t="s">
        <v>2586</v>
      </c>
      <c r="F1727" s="631" t="s">
        <v>2587</v>
      </c>
      <c r="G1727" s="661">
        <v>240</v>
      </c>
      <c r="H1727" s="633">
        <v>2231</v>
      </c>
      <c r="I1727" s="618"/>
      <c r="J1727" s="619" t="s">
        <v>2586</v>
      </c>
      <c r="K1727" s="618"/>
      <c r="L1727" s="619">
        <v>95</v>
      </c>
      <c r="M1727" s="620">
        <v>90</v>
      </c>
      <c r="N1727" s="619"/>
      <c r="O1727" s="619">
        <v>14</v>
      </c>
      <c r="P1727" s="619" t="s">
        <v>760</v>
      </c>
      <c r="Q1727" s="662" t="s">
        <v>1002</v>
      </c>
      <c r="R1727" s="618"/>
      <c r="S1727" s="621" t="s">
        <v>2552</v>
      </c>
      <c r="T1727" s="619" t="s">
        <v>2588</v>
      </c>
    </row>
    <row r="1728" spans="1:20">
      <c r="A1728" s="630">
        <v>2502231</v>
      </c>
      <c r="B1728" s="628"/>
      <c r="C1728" s="623"/>
      <c r="D1728" s="623"/>
      <c r="E1728" s="627" t="s">
        <v>2589</v>
      </c>
      <c r="F1728" s="631" t="s">
        <v>2590</v>
      </c>
      <c r="G1728" s="661">
        <v>250</v>
      </c>
      <c r="H1728" s="633">
        <v>2231</v>
      </c>
      <c r="I1728" s="618"/>
      <c r="J1728" s="619" t="s">
        <v>2589</v>
      </c>
      <c r="K1728" s="618"/>
      <c r="L1728" s="619">
        <v>93</v>
      </c>
      <c r="M1728" s="620">
        <v>88</v>
      </c>
      <c r="N1728" s="619"/>
      <c r="O1728" s="619">
        <v>14</v>
      </c>
      <c r="P1728" s="619" t="s">
        <v>760</v>
      </c>
      <c r="Q1728" s="662" t="s">
        <v>1002</v>
      </c>
      <c r="R1728" s="618"/>
      <c r="S1728" s="621" t="s">
        <v>2552</v>
      </c>
      <c r="T1728" s="619" t="s">
        <v>1079</v>
      </c>
    </row>
    <row r="1729" spans="1:20">
      <c r="A1729" s="630">
        <v>2602231</v>
      </c>
      <c r="B1729" s="628"/>
      <c r="C1729" s="623"/>
      <c r="D1729" s="623"/>
      <c r="E1729" s="627" t="s">
        <v>2591</v>
      </c>
      <c r="F1729" s="631" t="s">
        <v>2592</v>
      </c>
      <c r="G1729" s="661">
        <v>260</v>
      </c>
      <c r="H1729" s="633">
        <v>2231</v>
      </c>
      <c r="I1729" s="618"/>
      <c r="J1729" s="619" t="s">
        <v>2591</v>
      </c>
      <c r="K1729" s="618"/>
      <c r="L1729" s="619">
        <v>95</v>
      </c>
      <c r="M1729" s="620">
        <v>90</v>
      </c>
      <c r="N1729" s="619"/>
      <c r="O1729" s="619">
        <v>14</v>
      </c>
      <c r="P1729" s="619" t="s">
        <v>760</v>
      </c>
      <c r="Q1729" s="662" t="s">
        <v>1002</v>
      </c>
      <c r="R1729" s="618"/>
      <c r="S1729" s="621" t="s">
        <v>2552</v>
      </c>
      <c r="T1729" s="619" t="s">
        <v>1081</v>
      </c>
    </row>
    <row r="1730" spans="1:20">
      <c r="A1730" s="630">
        <v>2702231</v>
      </c>
      <c r="B1730" s="628"/>
      <c r="C1730" s="623"/>
      <c r="D1730" s="623"/>
      <c r="E1730" s="627" t="s">
        <v>2593</v>
      </c>
      <c r="F1730" s="631" t="s">
        <v>2594</v>
      </c>
      <c r="G1730" s="661">
        <v>270</v>
      </c>
      <c r="H1730" s="633">
        <v>2231</v>
      </c>
      <c r="I1730" s="618"/>
      <c r="J1730" s="619" t="s">
        <v>2593</v>
      </c>
      <c r="K1730" s="618"/>
      <c r="L1730" s="619">
        <v>94</v>
      </c>
      <c r="M1730" s="620">
        <v>89</v>
      </c>
      <c r="N1730" s="619"/>
      <c r="O1730" s="619">
        <v>14</v>
      </c>
      <c r="P1730" s="619" t="s">
        <v>760</v>
      </c>
      <c r="Q1730" s="662" t="s">
        <v>1002</v>
      </c>
      <c r="R1730" s="618"/>
      <c r="S1730" s="621" t="s">
        <v>2552</v>
      </c>
      <c r="T1730" s="619" t="s">
        <v>1083</v>
      </c>
    </row>
    <row r="1731" spans="1:20">
      <c r="A1731" s="630">
        <v>2812231</v>
      </c>
      <c r="B1731" s="628"/>
      <c r="C1731" s="623"/>
      <c r="D1731" s="623"/>
      <c r="E1731" s="627" t="s">
        <v>2595</v>
      </c>
      <c r="F1731" s="631" t="s">
        <v>2596</v>
      </c>
      <c r="G1731" s="661">
        <v>281</v>
      </c>
      <c r="H1731" s="633">
        <v>2231</v>
      </c>
      <c r="I1731" s="618"/>
      <c r="J1731" s="619" t="s">
        <v>2595</v>
      </c>
      <c r="K1731" s="618"/>
      <c r="L1731" s="619">
        <v>95</v>
      </c>
      <c r="M1731" s="620">
        <v>90</v>
      </c>
      <c r="N1731" s="619"/>
      <c r="O1731" s="619">
        <v>14</v>
      </c>
      <c r="P1731" s="619" t="s">
        <v>760</v>
      </c>
      <c r="Q1731" s="662" t="s">
        <v>1002</v>
      </c>
      <c r="R1731" s="618"/>
      <c r="S1731" s="621" t="s">
        <v>2552</v>
      </c>
      <c r="T1731" s="619" t="s">
        <v>1085</v>
      </c>
    </row>
    <row r="1732" spans="1:20">
      <c r="A1732" s="630">
        <v>2822231</v>
      </c>
      <c r="B1732" s="628"/>
      <c r="C1732" s="623"/>
      <c r="D1732" s="623"/>
      <c r="E1732" s="627" t="s">
        <v>2597</v>
      </c>
      <c r="F1732" s="631" t="s">
        <v>2598</v>
      </c>
      <c r="G1732" s="661">
        <v>282</v>
      </c>
      <c r="H1732" s="633">
        <v>2231</v>
      </c>
      <c r="I1732" s="618"/>
      <c r="J1732" s="619" t="s">
        <v>2597</v>
      </c>
      <c r="K1732" s="618"/>
      <c r="L1732" s="619">
        <v>95</v>
      </c>
      <c r="M1732" s="620">
        <v>90</v>
      </c>
      <c r="N1732" s="619"/>
      <c r="O1732" s="619">
        <v>14</v>
      </c>
      <c r="P1732" s="619" t="s">
        <v>760</v>
      </c>
      <c r="Q1732" s="662" t="s">
        <v>1002</v>
      </c>
      <c r="R1732" s="618"/>
      <c r="S1732" s="621" t="s">
        <v>2552</v>
      </c>
      <c r="T1732" s="619" t="s">
        <v>1087</v>
      </c>
    </row>
    <row r="1733" spans="1:20">
      <c r="A1733" s="630">
        <v>2902231</v>
      </c>
      <c r="B1733" s="628"/>
      <c r="C1733" s="623"/>
      <c r="D1733" s="623"/>
      <c r="E1733" s="627" t="s">
        <v>2599</v>
      </c>
      <c r="F1733" s="631" t="s">
        <v>2600</v>
      </c>
      <c r="G1733" s="661">
        <v>290</v>
      </c>
      <c r="H1733" s="633">
        <v>2231</v>
      </c>
      <c r="I1733" s="618"/>
      <c r="J1733" s="619" t="s">
        <v>2599</v>
      </c>
      <c r="K1733" s="618"/>
      <c r="L1733" s="619">
        <v>95</v>
      </c>
      <c r="M1733" s="620">
        <v>90</v>
      </c>
      <c r="N1733" s="619"/>
      <c r="O1733" s="619">
        <v>14</v>
      </c>
      <c r="P1733" s="619" t="s">
        <v>760</v>
      </c>
      <c r="Q1733" s="662" t="s">
        <v>1002</v>
      </c>
      <c r="R1733" s="618"/>
      <c r="S1733" s="621" t="s">
        <v>2552</v>
      </c>
      <c r="T1733" s="619" t="s">
        <v>1090</v>
      </c>
    </row>
    <row r="1734" spans="1:20">
      <c r="A1734" s="622"/>
      <c r="B1734" s="628"/>
      <c r="C1734" s="623"/>
      <c r="D1734" s="623" t="s">
        <v>775</v>
      </c>
      <c r="E1734" s="626" t="s">
        <v>2601</v>
      </c>
      <c r="F1734" s="626"/>
      <c r="G1734" s="623"/>
      <c r="H1734" s="627"/>
      <c r="I1734" s="618"/>
      <c r="J1734" s="618"/>
      <c r="K1734" s="618"/>
      <c r="L1734" s="618"/>
      <c r="M1734" s="618"/>
      <c r="N1734" s="618"/>
      <c r="O1734" s="618"/>
      <c r="P1734" s="618"/>
      <c r="Q1734" s="662"/>
      <c r="R1734" s="618"/>
      <c r="S1734" s="621"/>
      <c r="T1734" s="618"/>
    </row>
    <row r="1735" spans="1:20">
      <c r="A1735" s="622"/>
      <c r="B1735" s="628"/>
      <c r="C1735" s="623"/>
      <c r="D1735" s="623"/>
      <c r="E1735" s="627" t="s">
        <v>2602</v>
      </c>
      <c r="F1735" s="626"/>
      <c r="G1735" s="623"/>
      <c r="H1735" s="627"/>
      <c r="I1735" s="618"/>
      <c r="J1735" s="618"/>
      <c r="K1735" s="618"/>
      <c r="L1735" s="618"/>
      <c r="M1735" s="618"/>
      <c r="N1735" s="618"/>
      <c r="O1735" s="618"/>
      <c r="P1735" s="618"/>
      <c r="Q1735" s="662"/>
      <c r="R1735" s="618"/>
      <c r="S1735" s="621"/>
      <c r="T1735" s="618"/>
    </row>
    <row r="1736" spans="1:20">
      <c r="A1736" s="630">
        <v>1112232</v>
      </c>
      <c r="B1736" s="628"/>
      <c r="C1736" s="623"/>
      <c r="D1736" s="623"/>
      <c r="E1736" s="627" t="s">
        <v>2214</v>
      </c>
      <c r="F1736" s="631" t="s">
        <v>2603</v>
      </c>
      <c r="G1736" s="661">
        <v>111</v>
      </c>
      <c r="H1736" s="633">
        <v>2232</v>
      </c>
      <c r="I1736" s="618"/>
      <c r="J1736" s="619" t="s">
        <v>2214</v>
      </c>
      <c r="K1736" s="618"/>
      <c r="L1736" s="619">
        <v>81</v>
      </c>
      <c r="M1736" s="620">
        <v>76</v>
      </c>
      <c r="N1736" s="619"/>
      <c r="O1736" s="619">
        <v>14</v>
      </c>
      <c r="P1736" s="619" t="s">
        <v>1098</v>
      </c>
      <c r="Q1736" s="662" t="s">
        <v>1002</v>
      </c>
      <c r="R1736" s="618"/>
      <c r="S1736" s="621" t="s">
        <v>2604</v>
      </c>
      <c r="T1736" s="619" t="s">
        <v>2217</v>
      </c>
    </row>
    <row r="1737" spans="1:20">
      <c r="A1737" s="630">
        <v>1122232</v>
      </c>
      <c r="B1737" s="628"/>
      <c r="C1737" s="623"/>
      <c r="D1737" s="623"/>
      <c r="E1737" s="627" t="s">
        <v>2553</v>
      </c>
      <c r="F1737" s="631" t="s">
        <v>2605</v>
      </c>
      <c r="G1737" s="661">
        <v>112</v>
      </c>
      <c r="H1737" s="633">
        <v>2232</v>
      </c>
      <c r="I1737" s="618"/>
      <c r="J1737" s="619" t="s">
        <v>2553</v>
      </c>
      <c r="K1737" s="618"/>
      <c r="L1737" s="619">
        <v>82</v>
      </c>
      <c r="M1737" s="620">
        <v>77</v>
      </c>
      <c r="N1737" s="619"/>
      <c r="O1737" s="619">
        <v>14</v>
      </c>
      <c r="P1737" s="619" t="s">
        <v>1098</v>
      </c>
      <c r="Q1737" s="662" t="s">
        <v>1002</v>
      </c>
      <c r="R1737" s="618"/>
      <c r="S1737" s="621" t="s">
        <v>2604</v>
      </c>
      <c r="T1737" s="619" t="s">
        <v>2555</v>
      </c>
    </row>
    <row r="1738" spans="1:20">
      <c r="A1738" s="630">
        <v>1132232</v>
      </c>
      <c r="B1738" s="628"/>
      <c r="C1738" s="623"/>
      <c r="D1738" s="623"/>
      <c r="E1738" s="627" t="s">
        <v>2556</v>
      </c>
      <c r="F1738" s="631" t="s">
        <v>2606</v>
      </c>
      <c r="G1738" s="661">
        <v>113</v>
      </c>
      <c r="H1738" s="633">
        <v>2232</v>
      </c>
      <c r="I1738" s="618"/>
      <c r="J1738" s="619" t="s">
        <v>2556</v>
      </c>
      <c r="K1738" s="618"/>
      <c r="L1738" s="619">
        <v>83</v>
      </c>
      <c r="M1738" s="620">
        <v>78</v>
      </c>
      <c r="N1738" s="619"/>
      <c r="O1738" s="619">
        <v>14</v>
      </c>
      <c r="P1738" s="619" t="s">
        <v>1098</v>
      </c>
      <c r="Q1738" s="662" t="s">
        <v>1002</v>
      </c>
      <c r="R1738" s="618"/>
      <c r="S1738" s="621" t="s">
        <v>2604</v>
      </c>
      <c r="T1738" s="619" t="s">
        <v>2220</v>
      </c>
    </row>
    <row r="1739" spans="1:20">
      <c r="A1739" s="630">
        <v>1002232</v>
      </c>
      <c r="B1739" s="628"/>
      <c r="C1739" s="623"/>
      <c r="D1739" s="623"/>
      <c r="E1739" s="627" t="s">
        <v>2223</v>
      </c>
      <c r="F1739" s="631" t="s">
        <v>2607</v>
      </c>
      <c r="G1739" s="661">
        <v>100</v>
      </c>
      <c r="H1739" s="633">
        <v>2232</v>
      </c>
      <c r="I1739" s="618"/>
      <c r="J1739" s="619" t="s">
        <v>2223</v>
      </c>
      <c r="K1739" s="618"/>
      <c r="L1739" s="619">
        <v>86</v>
      </c>
      <c r="M1739" s="620">
        <v>81</v>
      </c>
      <c r="N1739" s="619"/>
      <c r="O1739" s="619">
        <v>14</v>
      </c>
      <c r="P1739" s="619" t="s">
        <v>1098</v>
      </c>
      <c r="Q1739" s="662" t="s">
        <v>1002</v>
      </c>
      <c r="R1739" s="618"/>
      <c r="S1739" s="621" t="s">
        <v>2604</v>
      </c>
      <c r="T1739" s="619" t="s">
        <v>1946</v>
      </c>
    </row>
    <row r="1740" spans="1:20">
      <c r="A1740" s="630">
        <v>1402232</v>
      </c>
      <c r="B1740" s="628"/>
      <c r="C1740" s="623"/>
      <c r="D1740" s="623"/>
      <c r="E1740" s="627" t="s">
        <v>2225</v>
      </c>
      <c r="F1740" s="631" t="s">
        <v>2608</v>
      </c>
      <c r="G1740" s="661">
        <v>140</v>
      </c>
      <c r="H1740" s="633">
        <v>2232</v>
      </c>
      <c r="I1740" s="618"/>
      <c r="J1740" s="619" t="s">
        <v>2225</v>
      </c>
      <c r="K1740" s="618"/>
      <c r="L1740" s="619">
        <v>86</v>
      </c>
      <c r="M1740" s="620">
        <v>81</v>
      </c>
      <c r="N1740" s="619"/>
      <c r="O1740" s="619">
        <v>14</v>
      </c>
      <c r="P1740" s="619" t="s">
        <v>1098</v>
      </c>
      <c r="Q1740" s="662" t="s">
        <v>1002</v>
      </c>
      <c r="R1740" s="618"/>
      <c r="S1740" s="621" t="s">
        <v>2604</v>
      </c>
      <c r="T1740" s="619" t="s">
        <v>1017</v>
      </c>
    </row>
    <row r="1741" spans="1:20">
      <c r="A1741" s="630">
        <v>1502232</v>
      </c>
      <c r="B1741" s="628"/>
      <c r="C1741" s="623"/>
      <c r="D1741" s="623"/>
      <c r="E1741" s="627" t="s">
        <v>2560</v>
      </c>
      <c r="F1741" s="631" t="s">
        <v>2609</v>
      </c>
      <c r="G1741" s="661">
        <v>150</v>
      </c>
      <c r="H1741" s="633">
        <v>2232</v>
      </c>
      <c r="I1741" s="618"/>
      <c r="J1741" s="619" t="s">
        <v>2560</v>
      </c>
      <c r="K1741" s="618"/>
      <c r="L1741" s="619">
        <v>86</v>
      </c>
      <c r="M1741" s="620">
        <v>81</v>
      </c>
      <c r="N1741" s="619"/>
      <c r="O1741" s="619">
        <v>14</v>
      </c>
      <c r="P1741" s="619" t="s">
        <v>1098</v>
      </c>
      <c r="Q1741" s="662" t="s">
        <v>1002</v>
      </c>
      <c r="R1741" s="618"/>
      <c r="S1741" s="621" t="s">
        <v>2604</v>
      </c>
      <c r="T1741" s="619" t="s">
        <v>2562</v>
      </c>
    </row>
    <row r="1742" spans="1:20">
      <c r="A1742" s="630">
        <v>3002232</v>
      </c>
      <c r="B1742" s="670"/>
      <c r="C1742" s="632"/>
      <c r="D1742" s="632"/>
      <c r="E1742" s="637" t="s">
        <v>2563</v>
      </c>
      <c r="F1742" s="631" t="s">
        <v>2610</v>
      </c>
      <c r="G1742" s="661">
        <v>300</v>
      </c>
      <c r="H1742" s="633">
        <v>2232</v>
      </c>
      <c r="I1742" s="618"/>
      <c r="J1742" s="619" t="s">
        <v>2563</v>
      </c>
      <c r="K1742" s="618"/>
      <c r="L1742" s="619">
        <v>101</v>
      </c>
      <c r="M1742" s="620">
        <v>96</v>
      </c>
      <c r="N1742" s="619"/>
      <c r="O1742" s="619">
        <v>14</v>
      </c>
      <c r="P1742" s="619" t="s">
        <v>1098</v>
      </c>
      <c r="Q1742" s="662"/>
      <c r="R1742" s="618"/>
      <c r="S1742" s="621" t="s">
        <v>2604</v>
      </c>
      <c r="T1742" s="619" t="s">
        <v>2565</v>
      </c>
    </row>
    <row r="1743" spans="1:20">
      <c r="A1743" s="622"/>
      <c r="B1743" s="628"/>
      <c r="C1743" s="623"/>
      <c r="D1743" s="623"/>
      <c r="E1743" s="627" t="s">
        <v>2230</v>
      </c>
      <c r="F1743" s="626"/>
      <c r="G1743" s="623"/>
      <c r="H1743" s="627"/>
      <c r="I1743" s="618"/>
      <c r="J1743" s="618"/>
      <c r="K1743" s="618"/>
      <c r="L1743" s="618"/>
      <c r="M1743" s="618"/>
      <c r="N1743" s="618"/>
      <c r="O1743" s="618"/>
      <c r="P1743" s="618"/>
      <c r="Q1743" s="662"/>
      <c r="R1743" s="618"/>
      <c r="S1743" s="621"/>
      <c r="T1743" s="618"/>
    </row>
    <row r="1744" spans="1:20">
      <c r="A1744" s="630">
        <v>4302232</v>
      </c>
      <c r="B1744" s="628"/>
      <c r="C1744" s="623"/>
      <c r="D1744" s="623"/>
      <c r="E1744" s="627" t="s">
        <v>2231</v>
      </c>
      <c r="F1744" s="631" t="s">
        <v>2611</v>
      </c>
      <c r="G1744" s="661">
        <v>430</v>
      </c>
      <c r="H1744" s="633">
        <v>2232</v>
      </c>
      <c r="I1744" s="618"/>
      <c r="J1744" s="619" t="s">
        <v>2231</v>
      </c>
      <c r="K1744" s="618"/>
      <c r="L1744" s="619">
        <v>107</v>
      </c>
      <c r="M1744" s="620">
        <v>102</v>
      </c>
      <c r="N1744" s="619"/>
      <c r="O1744" s="619">
        <v>14</v>
      </c>
      <c r="P1744" s="619" t="s">
        <v>1098</v>
      </c>
      <c r="Q1744" s="662"/>
      <c r="R1744" s="618"/>
      <c r="S1744" s="621" t="s">
        <v>2604</v>
      </c>
      <c r="T1744" s="619" t="s">
        <v>1021</v>
      </c>
    </row>
    <row r="1745" spans="1:20">
      <c r="A1745" s="630">
        <v>4422232</v>
      </c>
      <c r="B1745" s="628"/>
      <c r="C1745" s="623"/>
      <c r="D1745" s="623"/>
      <c r="E1745" s="627" t="s">
        <v>2233</v>
      </c>
      <c r="F1745" s="631" t="s">
        <v>2612</v>
      </c>
      <c r="G1745" s="661">
        <v>442</v>
      </c>
      <c r="H1745" s="633">
        <v>2232</v>
      </c>
      <c r="I1745" s="618"/>
      <c r="J1745" s="619" t="s">
        <v>2233</v>
      </c>
      <c r="K1745" s="618"/>
      <c r="L1745" s="619">
        <v>106</v>
      </c>
      <c r="M1745" s="620">
        <v>101</v>
      </c>
      <c r="N1745" s="619"/>
      <c r="O1745" s="619">
        <v>14</v>
      </c>
      <c r="P1745" s="619" t="s">
        <v>1098</v>
      </c>
      <c r="Q1745" s="662"/>
      <c r="R1745" s="618"/>
      <c r="S1745" s="621" t="s">
        <v>2604</v>
      </c>
      <c r="T1745" s="619" t="s">
        <v>1023</v>
      </c>
    </row>
    <row r="1746" spans="1:20">
      <c r="A1746" s="630">
        <v>4002232</v>
      </c>
      <c r="B1746" s="628"/>
      <c r="C1746" s="623"/>
      <c r="D1746" s="623"/>
      <c r="E1746" s="627" t="s">
        <v>2235</v>
      </c>
      <c r="F1746" s="631" t="s">
        <v>2613</v>
      </c>
      <c r="G1746" s="661">
        <v>400</v>
      </c>
      <c r="H1746" s="633">
        <v>2232</v>
      </c>
      <c r="I1746" s="618"/>
      <c r="J1746" s="619" t="s">
        <v>2235</v>
      </c>
      <c r="K1746" s="618"/>
      <c r="L1746" s="619">
        <v>108</v>
      </c>
      <c r="M1746" s="620">
        <v>103</v>
      </c>
      <c r="N1746" s="619"/>
      <c r="O1746" s="619">
        <v>14</v>
      </c>
      <c r="P1746" s="619" t="s">
        <v>1098</v>
      </c>
      <c r="Q1746" s="662"/>
      <c r="R1746" s="618"/>
      <c r="S1746" s="621" t="s">
        <v>2604</v>
      </c>
      <c r="T1746" s="619" t="s">
        <v>2237</v>
      </c>
    </row>
    <row r="1747" spans="1:20">
      <c r="A1747" s="622"/>
      <c r="B1747" s="628"/>
      <c r="C1747" s="623"/>
      <c r="D1747" s="623"/>
      <c r="E1747" s="627" t="s">
        <v>1394</v>
      </c>
      <c r="F1747" s="626"/>
      <c r="G1747" s="623"/>
      <c r="H1747" s="627"/>
      <c r="I1747" s="618"/>
      <c r="J1747" s="618"/>
      <c r="K1747" s="618"/>
      <c r="L1747" s="618"/>
      <c r="M1747" s="618"/>
      <c r="N1747" s="618"/>
      <c r="O1747" s="618"/>
      <c r="P1747" s="618"/>
      <c r="Q1747" s="662"/>
      <c r="R1747" s="618"/>
      <c r="S1747" s="621"/>
      <c r="T1747" s="618"/>
    </row>
    <row r="1748" spans="1:20">
      <c r="A1748" s="630">
        <v>5822232</v>
      </c>
      <c r="B1748" s="628"/>
      <c r="C1748" s="623"/>
      <c r="D1748" s="623"/>
      <c r="E1748" s="627" t="s">
        <v>2238</v>
      </c>
      <c r="F1748" s="631" t="s">
        <v>2614</v>
      </c>
      <c r="G1748" s="661">
        <v>582</v>
      </c>
      <c r="H1748" s="633">
        <v>2232</v>
      </c>
      <c r="I1748" s="618"/>
      <c r="J1748" s="619" t="s">
        <v>2238</v>
      </c>
      <c r="K1748" s="618"/>
      <c r="L1748" s="619">
        <v>118</v>
      </c>
      <c r="M1748" s="620">
        <v>109</v>
      </c>
      <c r="N1748" s="619"/>
      <c r="O1748" s="619">
        <v>14</v>
      </c>
      <c r="P1748" s="619" t="s">
        <v>1098</v>
      </c>
      <c r="Q1748" s="662"/>
      <c r="R1748" s="618"/>
      <c r="S1748" s="621" t="s">
        <v>2604</v>
      </c>
      <c r="T1748" s="619" t="s">
        <v>1037</v>
      </c>
    </row>
    <row r="1749" spans="1:20">
      <c r="A1749" s="630">
        <v>5002232</v>
      </c>
      <c r="B1749" s="628"/>
      <c r="C1749" s="623"/>
      <c r="D1749" s="623"/>
      <c r="E1749" s="627" t="s">
        <v>2240</v>
      </c>
      <c r="F1749" s="631" t="s">
        <v>2615</v>
      </c>
      <c r="G1749" s="661">
        <v>500</v>
      </c>
      <c r="H1749" s="633">
        <v>2232</v>
      </c>
      <c r="I1749" s="618"/>
      <c r="J1749" s="619" t="s">
        <v>2240</v>
      </c>
      <c r="K1749" s="618"/>
      <c r="L1749" s="619">
        <v>119</v>
      </c>
      <c r="M1749" s="620">
        <v>110</v>
      </c>
      <c r="N1749" s="619"/>
      <c r="O1749" s="619">
        <v>14</v>
      </c>
      <c r="P1749" s="619" t="s">
        <v>1098</v>
      </c>
      <c r="Q1749" s="662"/>
      <c r="R1749" s="618"/>
      <c r="S1749" s="621" t="s">
        <v>2604</v>
      </c>
      <c r="T1749" s="619" t="s">
        <v>252</v>
      </c>
    </row>
    <row r="1750" spans="1:20">
      <c r="A1750" s="622"/>
      <c r="B1750" s="628"/>
      <c r="C1750" s="623"/>
      <c r="D1750" s="623"/>
      <c r="E1750" s="627" t="s">
        <v>2242</v>
      </c>
      <c r="F1750" s="626"/>
      <c r="G1750" s="623"/>
      <c r="H1750" s="627"/>
      <c r="I1750" s="618"/>
      <c r="J1750" s="618"/>
      <c r="K1750" s="618"/>
      <c r="L1750" s="618"/>
      <c r="M1750" s="618"/>
      <c r="N1750" s="618"/>
      <c r="O1750" s="618"/>
      <c r="P1750" s="618"/>
      <c r="Q1750" s="662"/>
      <c r="R1750" s="618"/>
      <c r="S1750" s="621"/>
      <c r="T1750" s="618"/>
    </row>
    <row r="1751" spans="1:20">
      <c r="A1751" s="630">
        <v>6152232</v>
      </c>
      <c r="B1751" s="628"/>
      <c r="C1751" s="623"/>
      <c r="D1751" s="623"/>
      <c r="E1751" s="627" t="s">
        <v>2243</v>
      </c>
      <c r="F1751" s="631" t="s">
        <v>2616</v>
      </c>
      <c r="G1751" s="661">
        <v>615</v>
      </c>
      <c r="H1751" s="633">
        <v>2232</v>
      </c>
      <c r="I1751" s="618"/>
      <c r="J1751" s="619" t="s">
        <v>2243</v>
      </c>
      <c r="K1751" s="618"/>
      <c r="L1751" s="619">
        <v>126</v>
      </c>
      <c r="M1751" s="620">
        <v>117</v>
      </c>
      <c r="N1751" s="619"/>
      <c r="O1751" s="619">
        <v>14</v>
      </c>
      <c r="P1751" s="619" t="s">
        <v>1098</v>
      </c>
      <c r="Q1751" s="662" t="s">
        <v>1043</v>
      </c>
      <c r="R1751" s="618"/>
      <c r="S1751" s="621" t="s">
        <v>2604</v>
      </c>
      <c r="T1751" s="619" t="s">
        <v>1041</v>
      </c>
    </row>
    <row r="1752" spans="1:20">
      <c r="A1752" s="630">
        <v>6102232</v>
      </c>
      <c r="B1752" s="628"/>
      <c r="C1752" s="623"/>
      <c r="D1752" s="623"/>
      <c r="E1752" s="627" t="s">
        <v>2245</v>
      </c>
      <c r="F1752" s="631" t="s">
        <v>2617</v>
      </c>
      <c r="G1752" s="661">
        <v>610</v>
      </c>
      <c r="H1752" s="633">
        <v>2232</v>
      </c>
      <c r="I1752" s="618"/>
      <c r="J1752" s="619" t="s">
        <v>2245</v>
      </c>
      <c r="K1752" s="618"/>
      <c r="L1752" s="619">
        <v>122</v>
      </c>
      <c r="M1752" s="620">
        <v>113</v>
      </c>
      <c r="N1752" s="619"/>
      <c r="O1752" s="619">
        <v>14</v>
      </c>
      <c r="P1752" s="619" t="s">
        <v>1098</v>
      </c>
      <c r="Q1752" s="662" t="s">
        <v>1043</v>
      </c>
      <c r="R1752" s="618"/>
      <c r="S1752" s="621" t="s">
        <v>2604</v>
      </c>
      <c r="T1752" s="619" t="s">
        <v>39</v>
      </c>
    </row>
    <row r="1753" spans="1:20">
      <c r="A1753" s="630">
        <v>6002232</v>
      </c>
      <c r="B1753" s="628"/>
      <c r="C1753" s="623"/>
      <c r="D1753" s="623"/>
      <c r="E1753" s="627" t="s">
        <v>2247</v>
      </c>
      <c r="F1753" s="631" t="s">
        <v>2618</v>
      </c>
      <c r="G1753" s="661">
        <v>600</v>
      </c>
      <c r="H1753" s="633">
        <v>2232</v>
      </c>
      <c r="I1753" s="618"/>
      <c r="J1753" s="619" t="s">
        <v>2247</v>
      </c>
      <c r="K1753" s="618"/>
      <c r="L1753" s="619">
        <v>126</v>
      </c>
      <c r="M1753" s="620">
        <v>117</v>
      </c>
      <c r="N1753" s="619"/>
      <c r="O1753" s="619">
        <v>14</v>
      </c>
      <c r="P1753" s="619" t="s">
        <v>1098</v>
      </c>
      <c r="Q1753" s="662"/>
      <c r="R1753" s="618"/>
      <c r="S1753" s="621" t="s">
        <v>2604</v>
      </c>
      <c r="T1753" s="619" t="s">
        <v>1048</v>
      </c>
    </row>
    <row r="1754" spans="1:20">
      <c r="A1754" s="622"/>
      <c r="B1754" s="628"/>
      <c r="C1754" s="623"/>
      <c r="D1754" s="623"/>
      <c r="E1754" s="627" t="s">
        <v>2249</v>
      </c>
      <c r="F1754" s="626"/>
      <c r="G1754" s="623"/>
      <c r="H1754" s="627"/>
      <c r="I1754" s="618"/>
      <c r="J1754" s="618"/>
      <c r="K1754" s="618"/>
      <c r="L1754" s="618"/>
      <c r="M1754" s="618"/>
      <c r="N1754" s="618"/>
      <c r="O1754" s="618"/>
      <c r="P1754" s="618"/>
      <c r="Q1754" s="662"/>
      <c r="R1754" s="618"/>
      <c r="S1754" s="621"/>
      <c r="T1754" s="618"/>
    </row>
    <row r="1755" spans="1:20">
      <c r="A1755" s="630">
        <v>7342232</v>
      </c>
      <c r="B1755" s="628"/>
      <c r="C1755" s="623"/>
      <c r="D1755" s="623"/>
      <c r="E1755" s="627" t="s">
        <v>2250</v>
      </c>
      <c r="F1755" s="631" t="s">
        <v>2619</v>
      </c>
      <c r="G1755" s="661">
        <v>734</v>
      </c>
      <c r="H1755" s="633">
        <v>2232</v>
      </c>
      <c r="I1755" s="618"/>
      <c r="J1755" s="619" t="s">
        <v>2250</v>
      </c>
      <c r="K1755" s="618"/>
      <c r="L1755" s="619">
        <v>131</v>
      </c>
      <c r="M1755" s="620">
        <v>122</v>
      </c>
      <c r="N1755" s="619"/>
      <c r="O1755" s="619">
        <v>14</v>
      </c>
      <c r="P1755" s="619" t="s">
        <v>760</v>
      </c>
      <c r="Q1755" s="662"/>
      <c r="R1755" s="618"/>
      <c r="S1755" s="621" t="s">
        <v>2604</v>
      </c>
      <c r="T1755" s="619" t="s">
        <v>1051</v>
      </c>
    </row>
    <row r="1756" spans="1:20">
      <c r="A1756" s="630">
        <v>7352232</v>
      </c>
      <c r="B1756" s="628"/>
      <c r="C1756" s="623"/>
      <c r="D1756" s="623"/>
      <c r="E1756" s="627" t="s">
        <v>2252</v>
      </c>
      <c r="F1756" s="631" t="s">
        <v>2620</v>
      </c>
      <c r="G1756" s="661">
        <v>735</v>
      </c>
      <c r="H1756" s="633">
        <v>2232</v>
      </c>
      <c r="I1756" s="618"/>
      <c r="J1756" s="619" t="s">
        <v>2252</v>
      </c>
      <c r="K1756" s="618"/>
      <c r="L1756" s="619">
        <v>131</v>
      </c>
      <c r="M1756" s="620">
        <v>122</v>
      </c>
      <c r="N1756" s="619"/>
      <c r="O1756" s="619">
        <v>14</v>
      </c>
      <c r="P1756" s="619" t="s">
        <v>760</v>
      </c>
      <c r="Q1756" s="662"/>
      <c r="R1756" s="618"/>
      <c r="S1756" s="621" t="s">
        <v>2604</v>
      </c>
      <c r="T1756" s="619" t="s">
        <v>1053</v>
      </c>
    </row>
    <row r="1757" spans="1:20">
      <c r="A1757" s="630">
        <v>7302232</v>
      </c>
      <c r="B1757" s="628"/>
      <c r="C1757" s="623"/>
      <c r="D1757" s="623"/>
      <c r="E1757" s="627" t="s">
        <v>2254</v>
      </c>
      <c r="F1757" s="631" t="s">
        <v>2621</v>
      </c>
      <c r="G1757" s="661">
        <v>730</v>
      </c>
      <c r="H1757" s="633">
        <v>2232</v>
      </c>
      <c r="I1757" s="618"/>
      <c r="J1757" s="619" t="s">
        <v>2254</v>
      </c>
      <c r="K1757" s="618"/>
      <c r="L1757" s="619">
        <v>131</v>
      </c>
      <c r="M1757" s="620">
        <v>122</v>
      </c>
      <c r="N1757" s="619"/>
      <c r="O1757" s="619">
        <v>14</v>
      </c>
      <c r="P1757" s="619" t="s">
        <v>760</v>
      </c>
      <c r="Q1757" s="662"/>
      <c r="R1757" s="618"/>
      <c r="S1757" s="621" t="s">
        <v>2604</v>
      </c>
      <c r="T1757" s="619" t="s">
        <v>1055</v>
      </c>
    </row>
    <row r="1758" spans="1:20">
      <c r="A1758" s="630">
        <v>7002232</v>
      </c>
      <c r="B1758" s="628"/>
      <c r="C1758" s="623"/>
      <c r="D1758" s="623"/>
      <c r="E1758" s="627" t="s">
        <v>2256</v>
      </c>
      <c r="F1758" s="631" t="s">
        <v>2622</v>
      </c>
      <c r="G1758" s="661">
        <v>700</v>
      </c>
      <c r="H1758" s="633">
        <v>2232</v>
      </c>
      <c r="I1758" s="618"/>
      <c r="J1758" s="619" t="s">
        <v>2256</v>
      </c>
      <c r="K1758" s="618"/>
      <c r="L1758" s="619">
        <v>132</v>
      </c>
      <c r="M1758" s="620">
        <v>123</v>
      </c>
      <c r="N1758" s="619"/>
      <c r="O1758" s="619">
        <v>14</v>
      </c>
      <c r="P1758" s="619" t="s">
        <v>760</v>
      </c>
      <c r="Q1758" s="662"/>
      <c r="R1758" s="618"/>
      <c r="S1758" s="621" t="s">
        <v>2604</v>
      </c>
      <c r="T1758" s="619" t="s">
        <v>1057</v>
      </c>
    </row>
    <row r="1759" spans="1:20">
      <c r="A1759" s="622"/>
      <c r="B1759" s="628"/>
      <c r="C1759" s="623"/>
      <c r="D1759" s="623"/>
      <c r="E1759" s="627" t="s">
        <v>2258</v>
      </c>
      <c r="F1759" s="626"/>
      <c r="G1759" s="623"/>
      <c r="H1759" s="627"/>
      <c r="I1759" s="618"/>
      <c r="J1759" s="618"/>
      <c r="K1759" s="618"/>
      <c r="L1759" s="618"/>
      <c r="M1759" s="618"/>
      <c r="N1759" s="618"/>
      <c r="O1759" s="618"/>
      <c r="P1759" s="618"/>
      <c r="Q1759" s="662"/>
      <c r="R1759" s="618"/>
      <c r="S1759" s="621"/>
      <c r="T1759" s="618"/>
    </row>
    <row r="1760" spans="1:20">
      <c r="A1760" s="630">
        <v>8952232</v>
      </c>
      <c r="B1760" s="628"/>
      <c r="C1760" s="623"/>
      <c r="D1760" s="623"/>
      <c r="E1760" s="627" t="s">
        <v>2259</v>
      </c>
      <c r="F1760" s="631" t="s">
        <v>2623</v>
      </c>
      <c r="G1760" s="661">
        <v>895</v>
      </c>
      <c r="H1760" s="633">
        <v>2232</v>
      </c>
      <c r="I1760" s="618"/>
      <c r="J1760" s="619" t="s">
        <v>2259</v>
      </c>
      <c r="K1760" s="618"/>
      <c r="L1760" s="619">
        <v>139</v>
      </c>
      <c r="M1760" s="620">
        <v>129</v>
      </c>
      <c r="N1760" s="619"/>
      <c r="O1760" s="619">
        <v>14</v>
      </c>
      <c r="P1760" s="619" t="s">
        <v>1098</v>
      </c>
      <c r="Q1760" s="662"/>
      <c r="R1760" s="618"/>
      <c r="S1760" s="621" t="s">
        <v>2604</v>
      </c>
      <c r="T1760" s="619" t="s">
        <v>2261</v>
      </c>
    </row>
    <row r="1761" spans="1:20">
      <c r="A1761" s="630">
        <v>8002232</v>
      </c>
      <c r="B1761" s="628"/>
      <c r="C1761" s="623"/>
      <c r="D1761" s="623"/>
      <c r="E1761" s="627" t="s">
        <v>2262</v>
      </c>
      <c r="F1761" s="631" t="s">
        <v>2624</v>
      </c>
      <c r="G1761" s="661">
        <v>800</v>
      </c>
      <c r="H1761" s="633">
        <v>2232</v>
      </c>
      <c r="I1761" s="618"/>
      <c r="J1761" s="619" t="s">
        <v>2262</v>
      </c>
      <c r="K1761" s="618"/>
      <c r="L1761" s="619">
        <v>139</v>
      </c>
      <c r="M1761" s="620">
        <v>129</v>
      </c>
      <c r="N1761" s="619"/>
      <c r="O1761" s="619">
        <v>14</v>
      </c>
      <c r="P1761" s="619" t="s">
        <v>1098</v>
      </c>
      <c r="Q1761" s="662"/>
      <c r="R1761" s="618"/>
      <c r="S1761" s="621" t="s">
        <v>2604</v>
      </c>
      <c r="T1761" s="619" t="s">
        <v>1061</v>
      </c>
    </row>
    <row r="1762" spans="1:20">
      <c r="A1762" s="622"/>
      <c r="B1762" s="628"/>
      <c r="C1762" s="623"/>
      <c r="D1762" s="623"/>
      <c r="E1762" s="627" t="s">
        <v>2264</v>
      </c>
      <c r="F1762" s="626"/>
      <c r="G1762" s="623"/>
      <c r="H1762" s="627"/>
      <c r="I1762" s="618"/>
      <c r="J1762" s="618"/>
      <c r="K1762" s="618"/>
      <c r="L1762" s="618"/>
      <c r="M1762" s="618"/>
      <c r="N1762" s="618"/>
      <c r="O1762" s="618"/>
      <c r="P1762" s="618"/>
      <c r="Q1762" s="662"/>
      <c r="R1762" s="618"/>
      <c r="S1762" s="621"/>
      <c r="T1762" s="618"/>
    </row>
    <row r="1763" spans="1:20">
      <c r="A1763" s="630">
        <v>2102232</v>
      </c>
      <c r="B1763" s="628"/>
      <c r="C1763" s="623"/>
      <c r="D1763" s="623"/>
      <c r="E1763" s="627" t="s">
        <v>2265</v>
      </c>
      <c r="F1763" s="631" t="s">
        <v>2625</v>
      </c>
      <c r="G1763" s="661">
        <v>210</v>
      </c>
      <c r="H1763" s="633">
        <v>2232</v>
      </c>
      <c r="I1763" s="618"/>
      <c r="J1763" s="619" t="s">
        <v>2265</v>
      </c>
      <c r="K1763" s="618"/>
      <c r="L1763" s="619">
        <v>89</v>
      </c>
      <c r="M1763" s="620">
        <v>84</v>
      </c>
      <c r="N1763" s="619"/>
      <c r="O1763" s="619">
        <v>14</v>
      </c>
      <c r="P1763" s="619" t="s">
        <v>1098</v>
      </c>
      <c r="Q1763" s="662" t="s">
        <v>1002</v>
      </c>
      <c r="R1763" s="618"/>
      <c r="S1763" s="621" t="s">
        <v>2604</v>
      </c>
      <c r="T1763" s="619" t="s">
        <v>1064</v>
      </c>
    </row>
    <row r="1764" spans="1:20">
      <c r="A1764" s="630">
        <v>2202232</v>
      </c>
      <c r="B1764" s="628"/>
      <c r="C1764" s="623"/>
      <c r="D1764" s="623"/>
      <c r="E1764" s="627" t="s">
        <v>2267</v>
      </c>
      <c r="F1764" s="631" t="s">
        <v>2626</v>
      </c>
      <c r="G1764" s="661">
        <v>220</v>
      </c>
      <c r="H1764" s="633">
        <v>2232</v>
      </c>
      <c r="I1764" s="618"/>
      <c r="J1764" s="619" t="s">
        <v>2267</v>
      </c>
      <c r="K1764" s="618"/>
      <c r="L1764" s="619">
        <v>90</v>
      </c>
      <c r="M1764" s="620">
        <v>85</v>
      </c>
      <c r="N1764" s="619"/>
      <c r="O1764" s="619">
        <v>14</v>
      </c>
      <c r="P1764" s="619" t="s">
        <v>1098</v>
      </c>
      <c r="Q1764" s="662" t="s">
        <v>1002</v>
      </c>
      <c r="R1764" s="618"/>
      <c r="S1764" s="621" t="s">
        <v>2604</v>
      </c>
      <c r="T1764" s="619" t="s">
        <v>1066</v>
      </c>
    </row>
    <row r="1765" spans="1:20">
      <c r="A1765" s="630">
        <v>2252232</v>
      </c>
      <c r="B1765" s="628"/>
      <c r="C1765" s="623"/>
      <c r="D1765" s="623"/>
      <c r="E1765" s="627" t="s">
        <v>2269</v>
      </c>
      <c r="F1765" s="631" t="s">
        <v>2627</v>
      </c>
      <c r="G1765" s="661">
        <v>225</v>
      </c>
      <c r="H1765" s="633">
        <v>2232</v>
      </c>
      <c r="I1765" s="618"/>
      <c r="J1765" s="619" t="s">
        <v>2269</v>
      </c>
      <c r="K1765" s="618"/>
      <c r="L1765" s="619">
        <v>91</v>
      </c>
      <c r="M1765" s="620">
        <v>86</v>
      </c>
      <c r="N1765" s="619"/>
      <c r="O1765" s="619">
        <v>14</v>
      </c>
      <c r="P1765" s="619" t="s">
        <v>1098</v>
      </c>
      <c r="Q1765" s="662" t="s">
        <v>1002</v>
      </c>
      <c r="R1765" s="618"/>
      <c r="S1765" s="621" t="s">
        <v>2604</v>
      </c>
      <c r="T1765" s="619" t="s">
        <v>23</v>
      </c>
    </row>
    <row r="1766" spans="1:20">
      <c r="A1766" s="622"/>
      <c r="B1766" s="628"/>
      <c r="C1766" s="623"/>
      <c r="D1766" s="623"/>
      <c r="E1766" s="627" t="s">
        <v>2271</v>
      </c>
      <c r="F1766" s="626"/>
      <c r="G1766" s="623"/>
      <c r="H1766" s="627"/>
      <c r="I1766" s="618"/>
      <c r="J1766" s="618"/>
      <c r="K1766" s="618"/>
      <c r="L1766" s="618"/>
      <c r="M1766" s="618"/>
      <c r="N1766" s="618"/>
      <c r="O1766" s="618"/>
      <c r="P1766" s="618"/>
      <c r="Q1766" s="662"/>
      <c r="R1766" s="618"/>
      <c r="S1766" s="621"/>
      <c r="T1766" s="618"/>
    </row>
    <row r="1767" spans="1:20">
      <c r="A1767" s="630">
        <v>2312232</v>
      </c>
      <c r="B1767" s="628"/>
      <c r="C1767" s="623"/>
      <c r="D1767" s="623"/>
      <c r="E1767" s="627" t="s">
        <v>2272</v>
      </c>
      <c r="F1767" s="631" t="s">
        <v>2628</v>
      </c>
      <c r="G1767" s="661">
        <v>231</v>
      </c>
      <c r="H1767" s="633">
        <v>2232</v>
      </c>
      <c r="I1767" s="618"/>
      <c r="J1767" s="619" t="s">
        <v>2272</v>
      </c>
      <c r="K1767" s="618"/>
      <c r="L1767" s="619">
        <v>92</v>
      </c>
      <c r="M1767" s="620">
        <v>87</v>
      </c>
      <c r="N1767" s="619"/>
      <c r="O1767" s="619">
        <v>14</v>
      </c>
      <c r="P1767" s="619" t="s">
        <v>1098</v>
      </c>
      <c r="Q1767" s="662" t="s">
        <v>1002</v>
      </c>
      <c r="R1767" s="618"/>
      <c r="S1767" s="621" t="s">
        <v>2604</v>
      </c>
      <c r="T1767" s="619" t="s">
        <v>1072</v>
      </c>
    </row>
    <row r="1768" spans="1:20">
      <c r="A1768" s="630">
        <v>2332232</v>
      </c>
      <c r="B1768" s="628"/>
      <c r="C1768" s="623"/>
      <c r="D1768" s="623"/>
      <c r="E1768" s="627" t="s">
        <v>2274</v>
      </c>
      <c r="F1768" s="631" t="s">
        <v>2629</v>
      </c>
      <c r="G1768" s="661">
        <v>233</v>
      </c>
      <c r="H1768" s="633">
        <v>2232</v>
      </c>
      <c r="I1768" s="618"/>
      <c r="J1768" s="619" t="s">
        <v>2274</v>
      </c>
      <c r="K1768" s="618"/>
      <c r="L1768" s="619">
        <v>92</v>
      </c>
      <c r="M1768" s="620">
        <v>87</v>
      </c>
      <c r="N1768" s="619"/>
      <c r="O1768" s="619">
        <v>14</v>
      </c>
      <c r="P1768" s="619" t="s">
        <v>1098</v>
      </c>
      <c r="Q1768" s="662" t="s">
        <v>1002</v>
      </c>
      <c r="R1768" s="618"/>
      <c r="S1768" s="621" t="s">
        <v>2604</v>
      </c>
      <c r="T1768" s="619" t="s">
        <v>2276</v>
      </c>
    </row>
    <row r="1769" spans="1:20">
      <c r="A1769" s="630">
        <v>2392232</v>
      </c>
      <c r="B1769" s="628"/>
      <c r="C1769" s="623"/>
      <c r="D1769" s="623"/>
      <c r="E1769" s="627" t="s">
        <v>2277</v>
      </c>
      <c r="F1769" s="631" t="s">
        <v>2630</v>
      </c>
      <c r="G1769" s="661">
        <v>239</v>
      </c>
      <c r="H1769" s="633">
        <v>2232</v>
      </c>
      <c r="I1769" s="618"/>
      <c r="J1769" s="619" t="s">
        <v>2277</v>
      </c>
      <c r="K1769" s="618"/>
      <c r="L1769" s="619">
        <v>92</v>
      </c>
      <c r="M1769" s="620">
        <v>87</v>
      </c>
      <c r="N1769" s="619"/>
      <c r="O1769" s="619">
        <v>14</v>
      </c>
      <c r="P1769" s="619" t="s">
        <v>1098</v>
      </c>
      <c r="Q1769" s="662" t="s">
        <v>1002</v>
      </c>
      <c r="R1769" s="618"/>
      <c r="S1769" s="621" t="s">
        <v>2604</v>
      </c>
      <c r="T1769" s="619" t="s">
        <v>1078</v>
      </c>
    </row>
    <row r="1770" spans="1:20">
      <c r="A1770" s="630">
        <v>2402232</v>
      </c>
      <c r="B1770" s="628"/>
      <c r="C1770" s="623"/>
      <c r="D1770" s="623"/>
      <c r="E1770" s="627" t="s">
        <v>2586</v>
      </c>
      <c r="F1770" s="631" t="s">
        <v>2631</v>
      </c>
      <c r="G1770" s="661">
        <v>240</v>
      </c>
      <c r="H1770" s="633">
        <v>2232</v>
      </c>
      <c r="I1770" s="618"/>
      <c r="J1770" s="619" t="s">
        <v>2586</v>
      </c>
      <c r="K1770" s="618"/>
      <c r="L1770" s="619">
        <v>95</v>
      </c>
      <c r="M1770" s="620">
        <v>90</v>
      </c>
      <c r="N1770" s="619"/>
      <c r="O1770" s="619">
        <v>14</v>
      </c>
      <c r="P1770" s="619" t="s">
        <v>1098</v>
      </c>
      <c r="Q1770" s="662" t="s">
        <v>1002</v>
      </c>
      <c r="R1770" s="618"/>
      <c r="S1770" s="621" t="s">
        <v>2604</v>
      </c>
      <c r="T1770" s="619" t="s">
        <v>2588</v>
      </c>
    </row>
    <row r="1771" spans="1:20">
      <c r="A1771" s="630">
        <v>2502232</v>
      </c>
      <c r="B1771" s="628"/>
      <c r="C1771" s="623"/>
      <c r="D1771" s="623"/>
      <c r="E1771" s="627" t="s">
        <v>2589</v>
      </c>
      <c r="F1771" s="631" t="s">
        <v>2632</v>
      </c>
      <c r="G1771" s="661">
        <v>250</v>
      </c>
      <c r="H1771" s="633">
        <v>2232</v>
      </c>
      <c r="I1771" s="618"/>
      <c r="J1771" s="619" t="s">
        <v>2589</v>
      </c>
      <c r="K1771" s="618"/>
      <c r="L1771" s="619">
        <v>93</v>
      </c>
      <c r="M1771" s="620">
        <v>88</v>
      </c>
      <c r="N1771" s="619"/>
      <c r="O1771" s="619">
        <v>14</v>
      </c>
      <c r="P1771" s="619" t="s">
        <v>1098</v>
      </c>
      <c r="Q1771" s="662" t="s">
        <v>1002</v>
      </c>
      <c r="R1771" s="618"/>
      <c r="S1771" s="621" t="s">
        <v>2604</v>
      </c>
      <c r="T1771" s="619" t="s">
        <v>1079</v>
      </c>
    </row>
    <row r="1772" spans="1:20">
      <c r="A1772" s="630">
        <v>2602232</v>
      </c>
      <c r="B1772" s="628"/>
      <c r="C1772" s="623"/>
      <c r="D1772" s="623"/>
      <c r="E1772" s="627" t="s">
        <v>2591</v>
      </c>
      <c r="F1772" s="631" t="s">
        <v>2633</v>
      </c>
      <c r="G1772" s="661">
        <v>260</v>
      </c>
      <c r="H1772" s="633">
        <v>2232</v>
      </c>
      <c r="I1772" s="618"/>
      <c r="J1772" s="619" t="s">
        <v>2591</v>
      </c>
      <c r="K1772" s="618"/>
      <c r="L1772" s="619">
        <v>95</v>
      </c>
      <c r="M1772" s="620">
        <v>90</v>
      </c>
      <c r="N1772" s="619"/>
      <c r="O1772" s="619">
        <v>14</v>
      </c>
      <c r="P1772" s="619" t="s">
        <v>1098</v>
      </c>
      <c r="Q1772" s="662" t="s">
        <v>1002</v>
      </c>
      <c r="R1772" s="618"/>
      <c r="S1772" s="621" t="s">
        <v>2604</v>
      </c>
      <c r="T1772" s="619" t="s">
        <v>1081</v>
      </c>
    </row>
    <row r="1773" spans="1:20">
      <c r="A1773" s="630">
        <v>2702232</v>
      </c>
      <c r="B1773" s="628"/>
      <c r="C1773" s="623"/>
      <c r="D1773" s="623"/>
      <c r="E1773" s="627" t="s">
        <v>2593</v>
      </c>
      <c r="F1773" s="631" t="s">
        <v>2634</v>
      </c>
      <c r="G1773" s="661">
        <v>270</v>
      </c>
      <c r="H1773" s="633">
        <v>2232</v>
      </c>
      <c r="I1773" s="618"/>
      <c r="J1773" s="619" t="s">
        <v>2593</v>
      </c>
      <c r="K1773" s="618"/>
      <c r="L1773" s="619">
        <v>94</v>
      </c>
      <c r="M1773" s="620">
        <v>89</v>
      </c>
      <c r="N1773" s="619"/>
      <c r="O1773" s="619">
        <v>14</v>
      </c>
      <c r="P1773" s="619" t="s">
        <v>1098</v>
      </c>
      <c r="Q1773" s="662" t="s">
        <v>1002</v>
      </c>
      <c r="R1773" s="618"/>
      <c r="S1773" s="621" t="s">
        <v>2604</v>
      </c>
      <c r="T1773" s="619" t="s">
        <v>1083</v>
      </c>
    </row>
    <row r="1774" spans="1:20">
      <c r="A1774" s="630">
        <v>2812232</v>
      </c>
      <c r="B1774" s="628"/>
      <c r="C1774" s="623"/>
      <c r="D1774" s="623"/>
      <c r="E1774" s="627" t="s">
        <v>2595</v>
      </c>
      <c r="F1774" s="631" t="s">
        <v>2635</v>
      </c>
      <c r="G1774" s="661">
        <v>281</v>
      </c>
      <c r="H1774" s="633">
        <v>2232</v>
      </c>
      <c r="I1774" s="618"/>
      <c r="J1774" s="619" t="s">
        <v>2595</v>
      </c>
      <c r="K1774" s="618"/>
      <c r="L1774" s="619">
        <v>95</v>
      </c>
      <c r="M1774" s="620">
        <v>90</v>
      </c>
      <c r="N1774" s="619"/>
      <c r="O1774" s="619">
        <v>14</v>
      </c>
      <c r="P1774" s="619" t="s">
        <v>1098</v>
      </c>
      <c r="Q1774" s="662" t="s">
        <v>1002</v>
      </c>
      <c r="R1774" s="618"/>
      <c r="S1774" s="621" t="s">
        <v>2604</v>
      </c>
      <c r="T1774" s="619" t="s">
        <v>1085</v>
      </c>
    </row>
    <row r="1775" spans="1:20">
      <c r="A1775" s="630">
        <v>2822232</v>
      </c>
      <c r="B1775" s="628"/>
      <c r="C1775" s="623"/>
      <c r="D1775" s="623"/>
      <c r="E1775" s="627" t="s">
        <v>2597</v>
      </c>
      <c r="F1775" s="631" t="s">
        <v>2636</v>
      </c>
      <c r="G1775" s="661">
        <v>282</v>
      </c>
      <c r="H1775" s="633">
        <v>2232</v>
      </c>
      <c r="I1775" s="618"/>
      <c r="J1775" s="619" t="s">
        <v>2597</v>
      </c>
      <c r="K1775" s="618"/>
      <c r="L1775" s="619">
        <v>95</v>
      </c>
      <c r="M1775" s="620">
        <v>90</v>
      </c>
      <c r="N1775" s="619"/>
      <c r="O1775" s="619">
        <v>14</v>
      </c>
      <c r="P1775" s="619" t="s">
        <v>1098</v>
      </c>
      <c r="Q1775" s="662" t="s">
        <v>1002</v>
      </c>
      <c r="R1775" s="618"/>
      <c r="S1775" s="621" t="s">
        <v>2604</v>
      </c>
      <c r="T1775" s="619" t="s">
        <v>1087</v>
      </c>
    </row>
    <row r="1776" spans="1:20">
      <c r="A1776" s="630">
        <v>2902232</v>
      </c>
      <c r="B1776" s="628"/>
      <c r="C1776" s="623"/>
      <c r="D1776" s="623"/>
      <c r="E1776" s="627" t="s">
        <v>2599</v>
      </c>
      <c r="F1776" s="631" t="s">
        <v>2637</v>
      </c>
      <c r="G1776" s="661">
        <v>290</v>
      </c>
      <c r="H1776" s="633">
        <v>2232</v>
      </c>
      <c r="I1776" s="618"/>
      <c r="J1776" s="619" t="s">
        <v>2599</v>
      </c>
      <c r="K1776" s="618"/>
      <c r="L1776" s="619">
        <v>95</v>
      </c>
      <c r="M1776" s="620">
        <v>90</v>
      </c>
      <c r="N1776" s="619"/>
      <c r="O1776" s="619">
        <v>14</v>
      </c>
      <c r="P1776" s="619" t="s">
        <v>1098</v>
      </c>
      <c r="Q1776" s="662" t="s">
        <v>1002</v>
      </c>
      <c r="R1776" s="618"/>
      <c r="S1776" s="621" t="s">
        <v>2604</v>
      </c>
      <c r="T1776" s="619" t="s">
        <v>1090</v>
      </c>
    </row>
    <row r="1777" spans="1:20">
      <c r="A1777" s="622"/>
      <c r="B1777" s="628"/>
      <c r="C1777" s="623"/>
      <c r="D1777" s="623" t="s">
        <v>799</v>
      </c>
      <c r="E1777" s="627" t="s">
        <v>2638</v>
      </c>
      <c r="F1777" s="626"/>
      <c r="G1777" s="623"/>
      <c r="H1777" s="627"/>
      <c r="I1777" s="618"/>
      <c r="J1777" s="618"/>
      <c r="K1777" s="618"/>
      <c r="L1777" s="618"/>
      <c r="M1777" s="618"/>
      <c r="N1777" s="618"/>
      <c r="O1777" s="618"/>
      <c r="P1777" s="618"/>
      <c r="Q1777" s="662"/>
      <c r="R1777" s="618"/>
      <c r="S1777" s="621"/>
      <c r="T1777" s="618"/>
    </row>
    <row r="1778" spans="1:20">
      <c r="A1778" s="622"/>
      <c r="B1778" s="628"/>
      <c r="C1778" s="623"/>
      <c r="D1778" s="623"/>
      <c r="E1778" s="627" t="s">
        <v>2639</v>
      </c>
      <c r="F1778" s="626"/>
      <c r="G1778" s="623"/>
      <c r="H1778" s="627"/>
      <c r="I1778" s="618"/>
      <c r="J1778" s="618"/>
      <c r="K1778" s="618"/>
      <c r="L1778" s="618"/>
      <c r="M1778" s="618"/>
      <c r="N1778" s="618"/>
      <c r="O1778" s="618"/>
      <c r="P1778" s="618"/>
      <c r="Q1778" s="662"/>
      <c r="R1778" s="618"/>
      <c r="S1778" s="621"/>
      <c r="T1778" s="618"/>
    </row>
    <row r="1779" spans="1:20">
      <c r="A1779" s="630">
        <v>1112233</v>
      </c>
      <c r="B1779" s="628"/>
      <c r="C1779" s="623"/>
      <c r="D1779" s="623"/>
      <c r="E1779" s="627" t="s">
        <v>2214</v>
      </c>
      <c r="F1779" s="631" t="s">
        <v>2640</v>
      </c>
      <c r="G1779" s="661">
        <v>111</v>
      </c>
      <c r="H1779" s="633">
        <v>2233</v>
      </c>
      <c r="I1779" s="618"/>
      <c r="J1779" s="619" t="s">
        <v>2214</v>
      </c>
      <c r="K1779" s="618"/>
      <c r="L1779" s="619">
        <v>81</v>
      </c>
      <c r="M1779" s="620">
        <v>76</v>
      </c>
      <c r="N1779" s="619"/>
      <c r="O1779" s="619">
        <v>14</v>
      </c>
      <c r="P1779" s="619" t="s">
        <v>760</v>
      </c>
      <c r="Q1779" s="662" t="s">
        <v>1002</v>
      </c>
      <c r="R1779" s="618"/>
      <c r="S1779" s="621" t="s">
        <v>2641</v>
      </c>
      <c r="T1779" s="619" t="s">
        <v>2217</v>
      </c>
    </row>
    <row r="1780" spans="1:20">
      <c r="A1780" s="630">
        <v>1122233</v>
      </c>
      <c r="B1780" s="628"/>
      <c r="C1780" s="623"/>
      <c r="D1780" s="623"/>
      <c r="E1780" s="627" t="s">
        <v>2553</v>
      </c>
      <c r="F1780" s="631" t="s">
        <v>2642</v>
      </c>
      <c r="G1780" s="661">
        <v>112</v>
      </c>
      <c r="H1780" s="633">
        <v>2233</v>
      </c>
      <c r="I1780" s="618"/>
      <c r="J1780" s="619" t="s">
        <v>2553</v>
      </c>
      <c r="K1780" s="618"/>
      <c r="L1780" s="619">
        <v>82</v>
      </c>
      <c r="M1780" s="620">
        <v>77</v>
      </c>
      <c r="N1780" s="619"/>
      <c r="O1780" s="619">
        <v>14</v>
      </c>
      <c r="P1780" s="619" t="s">
        <v>760</v>
      </c>
      <c r="Q1780" s="662" t="s">
        <v>1002</v>
      </c>
      <c r="R1780" s="618"/>
      <c r="S1780" s="621" t="s">
        <v>2641</v>
      </c>
      <c r="T1780" s="619" t="s">
        <v>2555</v>
      </c>
    </row>
    <row r="1781" spans="1:20">
      <c r="A1781" s="630">
        <v>1132233</v>
      </c>
      <c r="B1781" s="628"/>
      <c r="C1781" s="623"/>
      <c r="D1781" s="623"/>
      <c r="E1781" s="627" t="s">
        <v>2556</v>
      </c>
      <c r="F1781" s="631" t="s">
        <v>2643</v>
      </c>
      <c r="G1781" s="661">
        <v>113</v>
      </c>
      <c r="H1781" s="633">
        <v>2233</v>
      </c>
      <c r="I1781" s="618"/>
      <c r="J1781" s="619" t="s">
        <v>2556</v>
      </c>
      <c r="K1781" s="618"/>
      <c r="L1781" s="619">
        <v>83</v>
      </c>
      <c r="M1781" s="620">
        <v>78</v>
      </c>
      <c r="N1781" s="619"/>
      <c r="O1781" s="619">
        <v>14</v>
      </c>
      <c r="P1781" s="619" t="s">
        <v>760</v>
      </c>
      <c r="Q1781" s="662" t="s">
        <v>1002</v>
      </c>
      <c r="R1781" s="618"/>
      <c r="S1781" s="621" t="s">
        <v>2641</v>
      </c>
      <c r="T1781" s="619" t="s">
        <v>2220</v>
      </c>
    </row>
    <row r="1782" spans="1:20">
      <c r="A1782" s="630">
        <v>1002233</v>
      </c>
      <c r="B1782" s="628"/>
      <c r="C1782" s="623"/>
      <c r="D1782" s="623"/>
      <c r="E1782" s="627" t="s">
        <v>2223</v>
      </c>
      <c r="F1782" s="631" t="s">
        <v>2644</v>
      </c>
      <c r="G1782" s="661">
        <v>100</v>
      </c>
      <c r="H1782" s="633">
        <v>2233</v>
      </c>
      <c r="I1782" s="618"/>
      <c r="J1782" s="619" t="s">
        <v>2223</v>
      </c>
      <c r="K1782" s="618"/>
      <c r="L1782" s="619">
        <v>86</v>
      </c>
      <c r="M1782" s="620">
        <v>81</v>
      </c>
      <c r="N1782" s="619"/>
      <c r="O1782" s="619">
        <v>14</v>
      </c>
      <c r="P1782" s="619" t="s">
        <v>760</v>
      </c>
      <c r="Q1782" s="662" t="s">
        <v>1002</v>
      </c>
      <c r="R1782" s="618"/>
      <c r="S1782" s="621" t="s">
        <v>2641</v>
      </c>
      <c r="T1782" s="619" t="s">
        <v>1946</v>
      </c>
    </row>
    <row r="1783" spans="1:20">
      <c r="A1783" s="630">
        <v>1402233</v>
      </c>
      <c r="B1783" s="628"/>
      <c r="C1783" s="623"/>
      <c r="D1783" s="623"/>
      <c r="E1783" s="627" t="s">
        <v>2225</v>
      </c>
      <c r="F1783" s="631" t="s">
        <v>2645</v>
      </c>
      <c r="G1783" s="661">
        <v>140</v>
      </c>
      <c r="H1783" s="633">
        <v>2233</v>
      </c>
      <c r="I1783" s="618"/>
      <c r="J1783" s="619" t="s">
        <v>2225</v>
      </c>
      <c r="K1783" s="618"/>
      <c r="L1783" s="619">
        <v>86</v>
      </c>
      <c r="M1783" s="620">
        <v>81</v>
      </c>
      <c r="N1783" s="619"/>
      <c r="O1783" s="619">
        <v>14</v>
      </c>
      <c r="P1783" s="619" t="s">
        <v>760</v>
      </c>
      <c r="Q1783" s="662" t="s">
        <v>1002</v>
      </c>
      <c r="R1783" s="618"/>
      <c r="S1783" s="621" t="s">
        <v>2641</v>
      </c>
      <c r="T1783" s="619" t="s">
        <v>1017</v>
      </c>
    </row>
    <row r="1784" spans="1:20">
      <c r="A1784" s="630">
        <v>1502233</v>
      </c>
      <c r="B1784" s="628"/>
      <c r="C1784" s="623"/>
      <c r="D1784" s="623"/>
      <c r="E1784" s="627" t="s">
        <v>2560</v>
      </c>
      <c r="F1784" s="631" t="s">
        <v>2646</v>
      </c>
      <c r="G1784" s="661">
        <v>150</v>
      </c>
      <c r="H1784" s="633">
        <v>2233</v>
      </c>
      <c r="I1784" s="618"/>
      <c r="J1784" s="619" t="s">
        <v>2560</v>
      </c>
      <c r="K1784" s="618"/>
      <c r="L1784" s="619">
        <v>86</v>
      </c>
      <c r="M1784" s="620">
        <v>81</v>
      </c>
      <c r="N1784" s="619"/>
      <c r="O1784" s="619">
        <v>14</v>
      </c>
      <c r="P1784" s="619" t="s">
        <v>760</v>
      </c>
      <c r="Q1784" s="662" t="s">
        <v>1002</v>
      </c>
      <c r="R1784" s="618"/>
      <c r="S1784" s="621" t="s">
        <v>2641</v>
      </c>
      <c r="T1784" s="619" t="s">
        <v>2562</v>
      </c>
    </row>
    <row r="1785" spans="1:20">
      <c r="A1785" s="630">
        <v>3002233</v>
      </c>
      <c r="B1785" s="628"/>
      <c r="C1785" s="623"/>
      <c r="D1785" s="623"/>
      <c r="E1785" s="627" t="s">
        <v>2563</v>
      </c>
      <c r="F1785" s="631" t="s">
        <v>2647</v>
      </c>
      <c r="G1785" s="661">
        <v>300</v>
      </c>
      <c r="H1785" s="633">
        <v>2233</v>
      </c>
      <c r="I1785" s="618"/>
      <c r="J1785" s="619" t="s">
        <v>2563</v>
      </c>
      <c r="K1785" s="618"/>
      <c r="L1785" s="619">
        <v>101</v>
      </c>
      <c r="M1785" s="620">
        <v>96</v>
      </c>
      <c r="N1785" s="619"/>
      <c r="O1785" s="619">
        <v>14</v>
      </c>
      <c r="P1785" s="619" t="s">
        <v>760</v>
      </c>
      <c r="Q1785" s="662"/>
      <c r="R1785" s="618"/>
      <c r="S1785" s="621" t="s">
        <v>2641</v>
      </c>
      <c r="T1785" s="619" t="s">
        <v>2565</v>
      </c>
    </row>
    <row r="1786" spans="1:20">
      <c r="A1786" s="622"/>
      <c r="B1786" s="628"/>
      <c r="C1786" s="623"/>
      <c r="D1786" s="623"/>
      <c r="E1786" s="627" t="s">
        <v>2230</v>
      </c>
      <c r="F1786" s="626"/>
      <c r="G1786" s="623"/>
      <c r="H1786" s="627"/>
      <c r="I1786" s="618"/>
      <c r="J1786" s="618"/>
      <c r="K1786" s="618"/>
      <c r="L1786" s="618"/>
      <c r="M1786" s="618"/>
      <c r="N1786" s="618"/>
      <c r="O1786" s="618"/>
      <c r="P1786" s="618"/>
      <c r="Q1786" s="662"/>
      <c r="R1786" s="618"/>
      <c r="S1786" s="621"/>
      <c r="T1786" s="618"/>
    </row>
    <row r="1787" spans="1:20">
      <c r="A1787" s="630">
        <v>4302233</v>
      </c>
      <c r="B1787" s="628"/>
      <c r="C1787" s="623"/>
      <c r="D1787" s="623"/>
      <c r="E1787" s="627" t="s">
        <v>2231</v>
      </c>
      <c r="F1787" s="631" t="s">
        <v>2648</v>
      </c>
      <c r="G1787" s="661">
        <v>430</v>
      </c>
      <c r="H1787" s="633">
        <v>2233</v>
      </c>
      <c r="I1787" s="618"/>
      <c r="J1787" s="619" t="s">
        <v>2231</v>
      </c>
      <c r="K1787" s="618"/>
      <c r="L1787" s="619">
        <v>107</v>
      </c>
      <c r="M1787" s="620">
        <v>102</v>
      </c>
      <c r="N1787" s="619"/>
      <c r="O1787" s="619">
        <v>14</v>
      </c>
      <c r="P1787" s="619" t="s">
        <v>760</v>
      </c>
      <c r="Q1787" s="662"/>
      <c r="R1787" s="618"/>
      <c r="S1787" s="621" t="s">
        <v>2641</v>
      </c>
      <c r="T1787" s="619" t="s">
        <v>1021</v>
      </c>
    </row>
    <row r="1788" spans="1:20">
      <c r="A1788" s="630">
        <v>4422233</v>
      </c>
      <c r="B1788" s="628"/>
      <c r="C1788" s="623"/>
      <c r="D1788" s="623"/>
      <c r="E1788" s="627" t="s">
        <v>2233</v>
      </c>
      <c r="F1788" s="631" t="s">
        <v>2649</v>
      </c>
      <c r="G1788" s="661">
        <v>442</v>
      </c>
      <c r="H1788" s="633">
        <v>2233</v>
      </c>
      <c r="I1788" s="618"/>
      <c r="J1788" s="619" t="s">
        <v>2233</v>
      </c>
      <c r="K1788" s="618"/>
      <c r="L1788" s="619">
        <v>106</v>
      </c>
      <c r="M1788" s="620">
        <v>101</v>
      </c>
      <c r="N1788" s="619"/>
      <c r="O1788" s="619">
        <v>14</v>
      </c>
      <c r="P1788" s="619" t="s">
        <v>760</v>
      </c>
      <c r="Q1788" s="662"/>
      <c r="R1788" s="618"/>
      <c r="S1788" s="621" t="s">
        <v>2641</v>
      </c>
      <c r="T1788" s="619" t="s">
        <v>1023</v>
      </c>
    </row>
    <row r="1789" spans="1:20">
      <c r="A1789" s="630">
        <v>4002233</v>
      </c>
      <c r="B1789" s="628"/>
      <c r="C1789" s="623"/>
      <c r="D1789" s="623"/>
      <c r="E1789" s="627" t="s">
        <v>2235</v>
      </c>
      <c r="F1789" s="631" t="s">
        <v>2650</v>
      </c>
      <c r="G1789" s="661">
        <v>400</v>
      </c>
      <c r="H1789" s="633">
        <v>2233</v>
      </c>
      <c r="I1789" s="618"/>
      <c r="J1789" s="619" t="s">
        <v>2235</v>
      </c>
      <c r="K1789" s="618"/>
      <c r="L1789" s="619">
        <v>108</v>
      </c>
      <c r="M1789" s="620">
        <v>103</v>
      </c>
      <c r="N1789" s="619"/>
      <c r="O1789" s="619">
        <v>14</v>
      </c>
      <c r="P1789" s="619" t="s">
        <v>760</v>
      </c>
      <c r="Q1789" s="662"/>
      <c r="R1789" s="618"/>
      <c r="S1789" s="621" t="s">
        <v>2641</v>
      </c>
      <c r="T1789" s="619" t="s">
        <v>2237</v>
      </c>
    </row>
    <row r="1790" spans="1:20">
      <c r="A1790" s="622"/>
      <c r="B1790" s="628"/>
      <c r="C1790" s="623"/>
      <c r="D1790" s="623"/>
      <c r="E1790" s="627" t="s">
        <v>1394</v>
      </c>
      <c r="F1790" s="626"/>
      <c r="G1790" s="623"/>
      <c r="H1790" s="627"/>
      <c r="I1790" s="618"/>
      <c r="J1790" s="618"/>
      <c r="K1790" s="618"/>
      <c r="L1790" s="618"/>
      <c r="M1790" s="618"/>
      <c r="N1790" s="618"/>
      <c r="O1790" s="618"/>
      <c r="P1790" s="618"/>
      <c r="Q1790" s="662"/>
      <c r="R1790" s="618"/>
      <c r="S1790" s="621"/>
      <c r="T1790" s="618"/>
    </row>
    <row r="1791" spans="1:20">
      <c r="A1791" s="630">
        <v>5822233</v>
      </c>
      <c r="B1791" s="628"/>
      <c r="C1791" s="623"/>
      <c r="D1791" s="623"/>
      <c r="E1791" s="627" t="s">
        <v>2238</v>
      </c>
      <c r="F1791" s="631" t="s">
        <v>2651</v>
      </c>
      <c r="G1791" s="661">
        <v>582</v>
      </c>
      <c r="H1791" s="633">
        <v>2233</v>
      </c>
      <c r="I1791" s="618"/>
      <c r="J1791" s="619" t="s">
        <v>2238</v>
      </c>
      <c r="K1791" s="618"/>
      <c r="L1791" s="619">
        <v>118</v>
      </c>
      <c r="M1791" s="620">
        <v>109</v>
      </c>
      <c r="N1791" s="619"/>
      <c r="O1791" s="619">
        <v>14</v>
      </c>
      <c r="P1791" s="619" t="s">
        <v>760</v>
      </c>
      <c r="Q1791" s="662"/>
      <c r="R1791" s="618"/>
      <c r="S1791" s="621" t="s">
        <v>2641</v>
      </c>
      <c r="T1791" s="619" t="s">
        <v>1037</v>
      </c>
    </row>
    <row r="1792" spans="1:20">
      <c r="A1792" s="630">
        <v>5002233</v>
      </c>
      <c r="B1792" s="628"/>
      <c r="C1792" s="623"/>
      <c r="D1792" s="623"/>
      <c r="E1792" s="627" t="s">
        <v>2240</v>
      </c>
      <c r="F1792" s="631" t="s">
        <v>2652</v>
      </c>
      <c r="G1792" s="661">
        <v>500</v>
      </c>
      <c r="H1792" s="633">
        <v>2233</v>
      </c>
      <c r="I1792" s="618"/>
      <c r="J1792" s="619" t="s">
        <v>2240</v>
      </c>
      <c r="K1792" s="618"/>
      <c r="L1792" s="619">
        <v>119</v>
      </c>
      <c r="M1792" s="620">
        <v>110</v>
      </c>
      <c r="N1792" s="619"/>
      <c r="O1792" s="619">
        <v>14</v>
      </c>
      <c r="P1792" s="619" t="s">
        <v>760</v>
      </c>
      <c r="Q1792" s="662"/>
      <c r="R1792" s="618"/>
      <c r="S1792" s="621" t="s">
        <v>2641</v>
      </c>
      <c r="T1792" s="619" t="s">
        <v>252</v>
      </c>
    </row>
    <row r="1793" spans="1:20">
      <c r="A1793" s="622"/>
      <c r="B1793" s="628"/>
      <c r="C1793" s="623"/>
      <c r="D1793" s="623"/>
      <c r="E1793" s="627" t="s">
        <v>2242</v>
      </c>
      <c r="F1793" s="626"/>
      <c r="G1793" s="623"/>
      <c r="H1793" s="627"/>
      <c r="I1793" s="618"/>
      <c r="J1793" s="618"/>
      <c r="K1793" s="618"/>
      <c r="L1793" s="618"/>
      <c r="M1793" s="618"/>
      <c r="N1793" s="618"/>
      <c r="O1793" s="618"/>
      <c r="P1793" s="618"/>
      <c r="Q1793" s="662"/>
      <c r="R1793" s="618"/>
      <c r="S1793" s="621"/>
      <c r="T1793" s="618"/>
    </row>
    <row r="1794" spans="1:20">
      <c r="A1794" s="630">
        <v>6152233</v>
      </c>
      <c r="B1794" s="628"/>
      <c r="C1794" s="623"/>
      <c r="D1794" s="623"/>
      <c r="E1794" s="627" t="s">
        <v>2243</v>
      </c>
      <c r="F1794" s="631" t="s">
        <v>2653</v>
      </c>
      <c r="G1794" s="661">
        <v>615</v>
      </c>
      <c r="H1794" s="633">
        <v>2233</v>
      </c>
      <c r="I1794" s="618"/>
      <c r="J1794" s="619" t="s">
        <v>2243</v>
      </c>
      <c r="K1794" s="618"/>
      <c r="L1794" s="619">
        <v>126</v>
      </c>
      <c r="M1794" s="620">
        <v>117</v>
      </c>
      <c r="N1794" s="619"/>
      <c r="O1794" s="619">
        <v>14</v>
      </c>
      <c r="P1794" s="619" t="s">
        <v>760</v>
      </c>
      <c r="Q1794" s="662" t="s">
        <v>1043</v>
      </c>
      <c r="R1794" s="618"/>
      <c r="S1794" s="621" t="s">
        <v>2641</v>
      </c>
      <c r="T1794" s="619" t="s">
        <v>1041</v>
      </c>
    </row>
    <row r="1795" spans="1:20">
      <c r="A1795" s="630">
        <v>6102233</v>
      </c>
      <c r="B1795" s="628"/>
      <c r="C1795" s="623"/>
      <c r="D1795" s="623"/>
      <c r="E1795" s="627" t="s">
        <v>2245</v>
      </c>
      <c r="F1795" s="631" t="s">
        <v>2654</v>
      </c>
      <c r="G1795" s="661">
        <v>610</v>
      </c>
      <c r="H1795" s="633">
        <v>2233</v>
      </c>
      <c r="I1795" s="618"/>
      <c r="J1795" s="619" t="s">
        <v>2245</v>
      </c>
      <c r="K1795" s="618"/>
      <c r="L1795" s="619">
        <v>122</v>
      </c>
      <c r="M1795" s="620">
        <v>113</v>
      </c>
      <c r="N1795" s="619"/>
      <c r="O1795" s="619">
        <v>14</v>
      </c>
      <c r="P1795" s="619" t="s">
        <v>760</v>
      </c>
      <c r="Q1795" s="662" t="s">
        <v>1043</v>
      </c>
      <c r="R1795" s="618"/>
      <c r="S1795" s="621" t="s">
        <v>2641</v>
      </c>
      <c r="T1795" s="619" t="s">
        <v>39</v>
      </c>
    </row>
    <row r="1796" spans="1:20">
      <c r="A1796" s="630">
        <v>6002233</v>
      </c>
      <c r="B1796" s="628"/>
      <c r="C1796" s="623"/>
      <c r="D1796" s="623"/>
      <c r="E1796" s="627" t="s">
        <v>2247</v>
      </c>
      <c r="F1796" s="631" t="s">
        <v>2655</v>
      </c>
      <c r="G1796" s="661">
        <v>600</v>
      </c>
      <c r="H1796" s="633">
        <v>2233</v>
      </c>
      <c r="I1796" s="618"/>
      <c r="J1796" s="619" t="s">
        <v>2247</v>
      </c>
      <c r="K1796" s="618"/>
      <c r="L1796" s="619">
        <v>126</v>
      </c>
      <c r="M1796" s="620">
        <v>117</v>
      </c>
      <c r="N1796" s="619"/>
      <c r="O1796" s="619">
        <v>14</v>
      </c>
      <c r="P1796" s="619" t="s">
        <v>760</v>
      </c>
      <c r="Q1796" s="662"/>
      <c r="R1796" s="618"/>
      <c r="S1796" s="621" t="s">
        <v>2641</v>
      </c>
      <c r="T1796" s="619" t="s">
        <v>1048</v>
      </c>
    </row>
    <row r="1797" spans="1:20">
      <c r="A1797" s="622"/>
      <c r="B1797" s="628"/>
      <c r="C1797" s="623"/>
      <c r="D1797" s="623"/>
      <c r="E1797" s="627" t="s">
        <v>2249</v>
      </c>
      <c r="F1797" s="626"/>
      <c r="G1797" s="623"/>
      <c r="H1797" s="627"/>
      <c r="I1797" s="618"/>
      <c r="J1797" s="618"/>
      <c r="K1797" s="618"/>
      <c r="L1797" s="618"/>
      <c r="M1797" s="618"/>
      <c r="N1797" s="618"/>
      <c r="O1797" s="618"/>
      <c r="P1797" s="618"/>
      <c r="Q1797" s="662"/>
      <c r="R1797" s="618"/>
      <c r="S1797" s="621"/>
      <c r="T1797" s="618"/>
    </row>
    <row r="1798" spans="1:20">
      <c r="A1798" s="630">
        <v>7342233</v>
      </c>
      <c r="B1798" s="628"/>
      <c r="C1798" s="623"/>
      <c r="D1798" s="623"/>
      <c r="E1798" s="627" t="s">
        <v>2250</v>
      </c>
      <c r="F1798" s="631" t="s">
        <v>2656</v>
      </c>
      <c r="G1798" s="661">
        <v>734</v>
      </c>
      <c r="H1798" s="633">
        <v>2233</v>
      </c>
      <c r="I1798" s="618"/>
      <c r="J1798" s="619" t="s">
        <v>2250</v>
      </c>
      <c r="K1798" s="618"/>
      <c r="L1798" s="619">
        <v>131</v>
      </c>
      <c r="M1798" s="620">
        <v>122</v>
      </c>
      <c r="N1798" s="619"/>
      <c r="O1798" s="619">
        <v>14</v>
      </c>
      <c r="P1798" s="619" t="s">
        <v>760</v>
      </c>
      <c r="Q1798" s="662"/>
      <c r="R1798" s="618"/>
      <c r="S1798" s="621" t="s">
        <v>2641</v>
      </c>
      <c r="T1798" s="619" t="s">
        <v>1051</v>
      </c>
    </row>
    <row r="1799" spans="1:20">
      <c r="A1799" s="630">
        <v>7352233</v>
      </c>
      <c r="B1799" s="628"/>
      <c r="C1799" s="623"/>
      <c r="D1799" s="623"/>
      <c r="E1799" s="627" t="s">
        <v>2252</v>
      </c>
      <c r="F1799" s="631" t="s">
        <v>2657</v>
      </c>
      <c r="G1799" s="661">
        <v>735</v>
      </c>
      <c r="H1799" s="633">
        <v>2233</v>
      </c>
      <c r="I1799" s="618"/>
      <c r="J1799" s="619" t="s">
        <v>2252</v>
      </c>
      <c r="K1799" s="618"/>
      <c r="L1799" s="619">
        <v>131</v>
      </c>
      <c r="M1799" s="620">
        <v>122</v>
      </c>
      <c r="N1799" s="619"/>
      <c r="O1799" s="619">
        <v>14</v>
      </c>
      <c r="P1799" s="619" t="s">
        <v>760</v>
      </c>
      <c r="Q1799" s="662"/>
      <c r="R1799" s="618"/>
      <c r="S1799" s="621" t="s">
        <v>2641</v>
      </c>
      <c r="T1799" s="619" t="s">
        <v>1053</v>
      </c>
    </row>
    <row r="1800" spans="1:20">
      <c r="A1800" s="630">
        <v>7302233</v>
      </c>
      <c r="B1800" s="628"/>
      <c r="C1800" s="623"/>
      <c r="D1800" s="623"/>
      <c r="E1800" s="627" t="s">
        <v>2254</v>
      </c>
      <c r="F1800" s="631" t="s">
        <v>2658</v>
      </c>
      <c r="G1800" s="661">
        <v>730</v>
      </c>
      <c r="H1800" s="633">
        <v>2233</v>
      </c>
      <c r="I1800" s="618"/>
      <c r="J1800" s="619" t="s">
        <v>2254</v>
      </c>
      <c r="K1800" s="618"/>
      <c r="L1800" s="619">
        <v>131</v>
      </c>
      <c r="M1800" s="620">
        <v>122</v>
      </c>
      <c r="N1800" s="619"/>
      <c r="O1800" s="619">
        <v>14</v>
      </c>
      <c r="P1800" s="619" t="s">
        <v>760</v>
      </c>
      <c r="Q1800" s="662"/>
      <c r="R1800" s="618"/>
      <c r="S1800" s="621" t="s">
        <v>2641</v>
      </c>
      <c r="T1800" s="619" t="s">
        <v>1055</v>
      </c>
    </row>
    <row r="1801" spans="1:20">
      <c r="A1801" s="630">
        <v>7002233</v>
      </c>
      <c r="B1801" s="628"/>
      <c r="C1801" s="623"/>
      <c r="D1801" s="623"/>
      <c r="E1801" s="627" t="s">
        <v>2256</v>
      </c>
      <c r="F1801" s="631" t="s">
        <v>2659</v>
      </c>
      <c r="G1801" s="661">
        <v>700</v>
      </c>
      <c r="H1801" s="633">
        <v>2233</v>
      </c>
      <c r="I1801" s="618"/>
      <c r="J1801" s="619" t="s">
        <v>2256</v>
      </c>
      <c r="K1801" s="618"/>
      <c r="L1801" s="619">
        <v>132</v>
      </c>
      <c r="M1801" s="620">
        <v>123</v>
      </c>
      <c r="N1801" s="619"/>
      <c r="O1801" s="619">
        <v>14</v>
      </c>
      <c r="P1801" s="619" t="s">
        <v>760</v>
      </c>
      <c r="Q1801" s="662"/>
      <c r="R1801" s="618"/>
      <c r="S1801" s="621" t="s">
        <v>2641</v>
      </c>
      <c r="T1801" s="619" t="s">
        <v>1057</v>
      </c>
    </row>
    <row r="1802" spans="1:20">
      <c r="A1802" s="622"/>
      <c r="B1802" s="628"/>
      <c r="C1802" s="623"/>
      <c r="D1802" s="623"/>
      <c r="E1802" s="627" t="s">
        <v>2258</v>
      </c>
      <c r="F1802" s="626"/>
      <c r="G1802" s="623"/>
      <c r="H1802" s="627"/>
      <c r="I1802" s="618"/>
      <c r="J1802" s="618"/>
      <c r="K1802" s="618"/>
      <c r="L1802" s="618"/>
      <c r="M1802" s="618"/>
      <c r="N1802" s="618"/>
      <c r="O1802" s="618"/>
      <c r="P1802" s="618"/>
      <c r="Q1802" s="662"/>
      <c r="R1802" s="618"/>
      <c r="S1802" s="621"/>
      <c r="T1802" s="618"/>
    </row>
    <row r="1803" spans="1:20">
      <c r="A1803" s="630">
        <v>8952233</v>
      </c>
      <c r="B1803" s="628"/>
      <c r="C1803" s="623"/>
      <c r="D1803" s="623"/>
      <c r="E1803" s="627" t="s">
        <v>2259</v>
      </c>
      <c r="F1803" s="631" t="s">
        <v>2660</v>
      </c>
      <c r="G1803" s="661">
        <v>895</v>
      </c>
      <c r="H1803" s="633">
        <v>2233</v>
      </c>
      <c r="I1803" s="618"/>
      <c r="J1803" s="619" t="s">
        <v>2259</v>
      </c>
      <c r="K1803" s="618"/>
      <c r="L1803" s="619">
        <v>139</v>
      </c>
      <c r="M1803" s="620">
        <v>129</v>
      </c>
      <c r="N1803" s="619"/>
      <c r="O1803" s="619">
        <v>14</v>
      </c>
      <c r="P1803" s="619" t="s">
        <v>760</v>
      </c>
      <c r="Q1803" s="662"/>
      <c r="R1803" s="618"/>
      <c r="S1803" s="621" t="s">
        <v>2641</v>
      </c>
      <c r="T1803" s="619" t="s">
        <v>2261</v>
      </c>
    </row>
    <row r="1804" spans="1:20">
      <c r="A1804" s="630">
        <v>8002233</v>
      </c>
      <c r="B1804" s="628"/>
      <c r="C1804" s="623"/>
      <c r="D1804" s="623"/>
      <c r="E1804" s="627" t="s">
        <v>2262</v>
      </c>
      <c r="F1804" s="631" t="s">
        <v>2661</v>
      </c>
      <c r="G1804" s="661">
        <v>800</v>
      </c>
      <c r="H1804" s="633">
        <v>2233</v>
      </c>
      <c r="I1804" s="618"/>
      <c r="J1804" s="619" t="s">
        <v>2262</v>
      </c>
      <c r="K1804" s="618"/>
      <c r="L1804" s="619">
        <v>139</v>
      </c>
      <c r="M1804" s="620">
        <v>129</v>
      </c>
      <c r="N1804" s="619"/>
      <c r="O1804" s="619">
        <v>14</v>
      </c>
      <c r="P1804" s="619" t="s">
        <v>760</v>
      </c>
      <c r="Q1804" s="662"/>
      <c r="R1804" s="618"/>
      <c r="S1804" s="621" t="s">
        <v>2641</v>
      </c>
      <c r="T1804" s="619" t="s">
        <v>1061</v>
      </c>
    </row>
    <row r="1805" spans="1:20">
      <c r="A1805" s="622"/>
      <c r="B1805" s="628"/>
      <c r="C1805" s="623"/>
      <c r="D1805" s="623"/>
      <c r="E1805" s="627" t="s">
        <v>2264</v>
      </c>
      <c r="F1805" s="626"/>
      <c r="G1805" s="623"/>
      <c r="H1805" s="627"/>
      <c r="I1805" s="618"/>
      <c r="J1805" s="618"/>
      <c r="K1805" s="618"/>
      <c r="L1805" s="618"/>
      <c r="M1805" s="618"/>
      <c r="N1805" s="618"/>
      <c r="O1805" s="618"/>
      <c r="P1805" s="618"/>
      <c r="Q1805" s="662"/>
      <c r="R1805" s="618"/>
      <c r="S1805" s="621"/>
      <c r="T1805" s="618"/>
    </row>
    <row r="1806" spans="1:20">
      <c r="A1806" s="630">
        <v>2102233</v>
      </c>
      <c r="B1806" s="628"/>
      <c r="C1806" s="623"/>
      <c r="D1806" s="623"/>
      <c r="E1806" s="627" t="s">
        <v>2265</v>
      </c>
      <c r="F1806" s="631" t="s">
        <v>2662</v>
      </c>
      <c r="G1806" s="661">
        <v>210</v>
      </c>
      <c r="H1806" s="633">
        <v>2233</v>
      </c>
      <c r="I1806" s="618"/>
      <c r="J1806" s="619" t="s">
        <v>2265</v>
      </c>
      <c r="K1806" s="618"/>
      <c r="L1806" s="619">
        <v>89</v>
      </c>
      <c r="M1806" s="620">
        <v>84</v>
      </c>
      <c r="N1806" s="619"/>
      <c r="O1806" s="619">
        <v>14</v>
      </c>
      <c r="P1806" s="619" t="s">
        <v>760</v>
      </c>
      <c r="Q1806" s="662" t="s">
        <v>1002</v>
      </c>
      <c r="R1806" s="618"/>
      <c r="S1806" s="621" t="s">
        <v>2641</v>
      </c>
      <c r="T1806" s="619" t="s">
        <v>1064</v>
      </c>
    </row>
    <row r="1807" spans="1:20">
      <c r="A1807" s="630">
        <v>2202233</v>
      </c>
      <c r="B1807" s="628"/>
      <c r="C1807" s="623"/>
      <c r="D1807" s="623"/>
      <c r="E1807" s="627" t="s">
        <v>2267</v>
      </c>
      <c r="F1807" s="631" t="s">
        <v>2663</v>
      </c>
      <c r="G1807" s="661">
        <v>220</v>
      </c>
      <c r="H1807" s="633">
        <v>2233</v>
      </c>
      <c r="I1807" s="618"/>
      <c r="J1807" s="619" t="s">
        <v>2267</v>
      </c>
      <c r="K1807" s="618"/>
      <c r="L1807" s="619">
        <v>90</v>
      </c>
      <c r="M1807" s="620">
        <v>85</v>
      </c>
      <c r="N1807" s="619"/>
      <c r="O1807" s="619">
        <v>14</v>
      </c>
      <c r="P1807" s="619" t="s">
        <v>760</v>
      </c>
      <c r="Q1807" s="662" t="s">
        <v>1002</v>
      </c>
      <c r="R1807" s="618"/>
      <c r="S1807" s="621" t="s">
        <v>2641</v>
      </c>
      <c r="T1807" s="619" t="s">
        <v>1066</v>
      </c>
    </row>
    <row r="1808" spans="1:20">
      <c r="A1808" s="630">
        <v>2252233</v>
      </c>
      <c r="B1808" s="628"/>
      <c r="C1808" s="623"/>
      <c r="D1808" s="623"/>
      <c r="E1808" s="627" t="s">
        <v>2269</v>
      </c>
      <c r="F1808" s="631" t="s">
        <v>2664</v>
      </c>
      <c r="G1808" s="661">
        <v>225</v>
      </c>
      <c r="H1808" s="633">
        <v>2233</v>
      </c>
      <c r="I1808" s="618"/>
      <c r="J1808" s="619" t="s">
        <v>2269</v>
      </c>
      <c r="K1808" s="618"/>
      <c r="L1808" s="619">
        <v>91</v>
      </c>
      <c r="M1808" s="620">
        <v>86</v>
      </c>
      <c r="N1808" s="619"/>
      <c r="O1808" s="619">
        <v>14</v>
      </c>
      <c r="P1808" s="619" t="s">
        <v>760</v>
      </c>
      <c r="Q1808" s="662" t="s">
        <v>1002</v>
      </c>
      <c r="R1808" s="618"/>
      <c r="S1808" s="621" t="s">
        <v>2641</v>
      </c>
      <c r="T1808" s="619" t="s">
        <v>23</v>
      </c>
    </row>
    <row r="1809" spans="1:20">
      <c r="A1809" s="622"/>
      <c r="B1809" s="628"/>
      <c r="C1809" s="623"/>
      <c r="D1809" s="623"/>
      <c r="E1809" s="627" t="s">
        <v>2271</v>
      </c>
      <c r="F1809" s="626"/>
      <c r="G1809" s="623"/>
      <c r="H1809" s="627"/>
      <c r="I1809" s="618"/>
      <c r="J1809" s="618"/>
      <c r="K1809" s="618"/>
      <c r="L1809" s="618"/>
      <c r="M1809" s="618"/>
      <c r="N1809" s="618"/>
      <c r="O1809" s="618"/>
      <c r="P1809" s="618"/>
      <c r="Q1809" s="662"/>
      <c r="R1809" s="618"/>
      <c r="S1809" s="621"/>
      <c r="T1809" s="618"/>
    </row>
    <row r="1810" spans="1:20">
      <c r="A1810" s="630">
        <v>2312233</v>
      </c>
      <c r="B1810" s="628"/>
      <c r="C1810" s="623"/>
      <c r="D1810" s="623"/>
      <c r="E1810" s="627" t="s">
        <v>2272</v>
      </c>
      <c r="F1810" s="631" t="s">
        <v>2665</v>
      </c>
      <c r="G1810" s="661">
        <v>231</v>
      </c>
      <c r="H1810" s="633">
        <v>2233</v>
      </c>
      <c r="I1810" s="618"/>
      <c r="J1810" s="619" t="s">
        <v>2272</v>
      </c>
      <c r="K1810" s="618"/>
      <c r="L1810" s="619">
        <v>92</v>
      </c>
      <c r="M1810" s="620">
        <v>87</v>
      </c>
      <c r="N1810" s="619"/>
      <c r="O1810" s="619">
        <v>14</v>
      </c>
      <c r="P1810" s="619" t="s">
        <v>760</v>
      </c>
      <c r="Q1810" s="662" t="s">
        <v>1002</v>
      </c>
      <c r="R1810" s="618"/>
      <c r="S1810" s="621" t="s">
        <v>2641</v>
      </c>
      <c r="T1810" s="619" t="s">
        <v>1072</v>
      </c>
    </row>
    <row r="1811" spans="1:20">
      <c r="A1811" s="630">
        <v>2332233</v>
      </c>
      <c r="B1811" s="628"/>
      <c r="C1811" s="623"/>
      <c r="D1811" s="623"/>
      <c r="E1811" s="627" t="s">
        <v>2274</v>
      </c>
      <c r="F1811" s="631" t="s">
        <v>2666</v>
      </c>
      <c r="G1811" s="661">
        <v>233</v>
      </c>
      <c r="H1811" s="633">
        <v>2233</v>
      </c>
      <c r="I1811" s="618"/>
      <c r="J1811" s="619" t="s">
        <v>2274</v>
      </c>
      <c r="K1811" s="618"/>
      <c r="L1811" s="619">
        <v>92</v>
      </c>
      <c r="M1811" s="620">
        <v>87</v>
      </c>
      <c r="N1811" s="619"/>
      <c r="O1811" s="619">
        <v>14</v>
      </c>
      <c r="P1811" s="619" t="s">
        <v>760</v>
      </c>
      <c r="Q1811" s="662" t="s">
        <v>1002</v>
      </c>
      <c r="R1811" s="618"/>
      <c r="S1811" s="621" t="s">
        <v>2641</v>
      </c>
      <c r="T1811" s="619" t="s">
        <v>2276</v>
      </c>
    </row>
    <row r="1812" spans="1:20">
      <c r="A1812" s="630">
        <v>2392233</v>
      </c>
      <c r="B1812" s="628"/>
      <c r="C1812" s="623"/>
      <c r="D1812" s="623"/>
      <c r="E1812" s="627" t="s">
        <v>2277</v>
      </c>
      <c r="F1812" s="631" t="s">
        <v>2667</v>
      </c>
      <c r="G1812" s="661">
        <v>239</v>
      </c>
      <c r="H1812" s="633">
        <v>2233</v>
      </c>
      <c r="I1812" s="618"/>
      <c r="J1812" s="619" t="s">
        <v>2277</v>
      </c>
      <c r="K1812" s="618"/>
      <c r="L1812" s="619">
        <v>92</v>
      </c>
      <c r="M1812" s="620">
        <v>87</v>
      </c>
      <c r="N1812" s="619"/>
      <c r="O1812" s="619">
        <v>14</v>
      </c>
      <c r="P1812" s="619" t="s">
        <v>760</v>
      </c>
      <c r="Q1812" s="662" t="s">
        <v>1002</v>
      </c>
      <c r="R1812" s="618"/>
      <c r="S1812" s="621" t="s">
        <v>2641</v>
      </c>
      <c r="T1812" s="619" t="s">
        <v>1078</v>
      </c>
    </row>
    <row r="1813" spans="1:20">
      <c r="A1813" s="630">
        <v>2402233</v>
      </c>
      <c r="B1813" s="628"/>
      <c r="C1813" s="623"/>
      <c r="D1813" s="623"/>
      <c r="E1813" s="627" t="s">
        <v>2586</v>
      </c>
      <c r="F1813" s="631" t="s">
        <v>2668</v>
      </c>
      <c r="G1813" s="661">
        <v>240</v>
      </c>
      <c r="H1813" s="633">
        <v>2233</v>
      </c>
      <c r="I1813" s="618"/>
      <c r="J1813" s="619" t="s">
        <v>2586</v>
      </c>
      <c r="K1813" s="618"/>
      <c r="L1813" s="619">
        <v>95</v>
      </c>
      <c r="M1813" s="620">
        <v>90</v>
      </c>
      <c r="N1813" s="619"/>
      <c r="O1813" s="619">
        <v>14</v>
      </c>
      <c r="P1813" s="619" t="s">
        <v>760</v>
      </c>
      <c r="Q1813" s="662" t="s">
        <v>1002</v>
      </c>
      <c r="R1813" s="618"/>
      <c r="S1813" s="621" t="s">
        <v>2641</v>
      </c>
      <c r="T1813" s="619" t="s">
        <v>2588</v>
      </c>
    </row>
    <row r="1814" spans="1:20">
      <c r="A1814" s="630">
        <v>2502233</v>
      </c>
      <c r="B1814" s="628"/>
      <c r="C1814" s="623"/>
      <c r="D1814" s="623"/>
      <c r="E1814" s="627" t="s">
        <v>2589</v>
      </c>
      <c r="F1814" s="631" t="s">
        <v>2669</v>
      </c>
      <c r="G1814" s="661">
        <v>250</v>
      </c>
      <c r="H1814" s="633">
        <v>2233</v>
      </c>
      <c r="I1814" s="618"/>
      <c r="J1814" s="619" t="s">
        <v>2589</v>
      </c>
      <c r="K1814" s="618"/>
      <c r="L1814" s="619">
        <v>93</v>
      </c>
      <c r="M1814" s="620">
        <v>88</v>
      </c>
      <c r="N1814" s="619"/>
      <c r="O1814" s="619">
        <v>14</v>
      </c>
      <c r="P1814" s="619" t="s">
        <v>760</v>
      </c>
      <c r="Q1814" s="662" t="s">
        <v>1002</v>
      </c>
      <c r="R1814" s="618"/>
      <c r="S1814" s="621" t="s">
        <v>2641</v>
      </c>
      <c r="T1814" s="619" t="s">
        <v>1079</v>
      </c>
    </row>
    <row r="1815" spans="1:20">
      <c r="A1815" s="630">
        <v>2602233</v>
      </c>
      <c r="B1815" s="628"/>
      <c r="C1815" s="623"/>
      <c r="D1815" s="623"/>
      <c r="E1815" s="627" t="s">
        <v>2591</v>
      </c>
      <c r="F1815" s="631" t="s">
        <v>2670</v>
      </c>
      <c r="G1815" s="661">
        <v>260</v>
      </c>
      <c r="H1815" s="633">
        <v>2233</v>
      </c>
      <c r="I1815" s="618"/>
      <c r="J1815" s="619" t="s">
        <v>2591</v>
      </c>
      <c r="K1815" s="618"/>
      <c r="L1815" s="619">
        <v>95</v>
      </c>
      <c r="M1815" s="620">
        <v>90</v>
      </c>
      <c r="N1815" s="619"/>
      <c r="O1815" s="619">
        <v>14</v>
      </c>
      <c r="P1815" s="619" t="s">
        <v>760</v>
      </c>
      <c r="Q1815" s="662" t="s">
        <v>1002</v>
      </c>
      <c r="R1815" s="618"/>
      <c r="S1815" s="621" t="s">
        <v>2641</v>
      </c>
      <c r="T1815" s="619" t="s">
        <v>1081</v>
      </c>
    </row>
    <row r="1816" spans="1:20">
      <c r="A1816" s="630">
        <v>2702233</v>
      </c>
      <c r="B1816" s="628"/>
      <c r="C1816" s="623"/>
      <c r="D1816" s="623"/>
      <c r="E1816" s="627" t="s">
        <v>2593</v>
      </c>
      <c r="F1816" s="631" t="s">
        <v>2671</v>
      </c>
      <c r="G1816" s="661">
        <v>270</v>
      </c>
      <c r="H1816" s="633">
        <v>2233</v>
      </c>
      <c r="I1816" s="618"/>
      <c r="J1816" s="619" t="s">
        <v>2593</v>
      </c>
      <c r="K1816" s="618"/>
      <c r="L1816" s="619">
        <v>94</v>
      </c>
      <c r="M1816" s="620">
        <v>89</v>
      </c>
      <c r="N1816" s="619"/>
      <c r="O1816" s="619">
        <v>14</v>
      </c>
      <c r="P1816" s="619" t="s">
        <v>760</v>
      </c>
      <c r="Q1816" s="662" t="s">
        <v>1002</v>
      </c>
      <c r="R1816" s="618"/>
      <c r="S1816" s="621" t="s">
        <v>2641</v>
      </c>
      <c r="T1816" s="619" t="s">
        <v>1083</v>
      </c>
    </row>
    <row r="1817" spans="1:20">
      <c r="A1817" s="630">
        <v>2812233</v>
      </c>
      <c r="B1817" s="628"/>
      <c r="C1817" s="623"/>
      <c r="D1817" s="623"/>
      <c r="E1817" s="627" t="s">
        <v>2595</v>
      </c>
      <c r="F1817" s="631" t="s">
        <v>2672</v>
      </c>
      <c r="G1817" s="661">
        <v>281</v>
      </c>
      <c r="H1817" s="633">
        <v>2233</v>
      </c>
      <c r="I1817" s="618"/>
      <c r="J1817" s="619" t="s">
        <v>2595</v>
      </c>
      <c r="K1817" s="618"/>
      <c r="L1817" s="619">
        <v>95</v>
      </c>
      <c r="M1817" s="620">
        <v>90</v>
      </c>
      <c r="N1817" s="619"/>
      <c r="O1817" s="619">
        <v>14</v>
      </c>
      <c r="P1817" s="619" t="s">
        <v>760</v>
      </c>
      <c r="Q1817" s="662" t="s">
        <v>1002</v>
      </c>
      <c r="R1817" s="618"/>
      <c r="S1817" s="621" t="s">
        <v>2641</v>
      </c>
      <c r="T1817" s="619" t="s">
        <v>1085</v>
      </c>
    </row>
    <row r="1818" spans="1:20">
      <c r="A1818" s="630">
        <v>2822233</v>
      </c>
      <c r="B1818" s="628"/>
      <c r="C1818" s="623"/>
      <c r="D1818" s="623"/>
      <c r="E1818" s="627" t="s">
        <v>2597</v>
      </c>
      <c r="F1818" s="631" t="s">
        <v>2673</v>
      </c>
      <c r="G1818" s="661">
        <v>282</v>
      </c>
      <c r="H1818" s="633">
        <v>2233</v>
      </c>
      <c r="I1818" s="618"/>
      <c r="J1818" s="619" t="s">
        <v>2597</v>
      </c>
      <c r="K1818" s="618"/>
      <c r="L1818" s="619">
        <v>95</v>
      </c>
      <c r="M1818" s="620">
        <v>90</v>
      </c>
      <c r="N1818" s="619"/>
      <c r="O1818" s="619">
        <v>14</v>
      </c>
      <c r="P1818" s="619" t="s">
        <v>760</v>
      </c>
      <c r="Q1818" s="662" t="s">
        <v>1002</v>
      </c>
      <c r="R1818" s="618"/>
      <c r="S1818" s="621" t="s">
        <v>2641</v>
      </c>
      <c r="T1818" s="619" t="s">
        <v>1087</v>
      </c>
    </row>
    <row r="1819" spans="1:20">
      <c r="A1819" s="630">
        <v>2902233</v>
      </c>
      <c r="B1819" s="628"/>
      <c r="C1819" s="623"/>
      <c r="D1819" s="623"/>
      <c r="E1819" s="627" t="s">
        <v>2599</v>
      </c>
      <c r="F1819" s="631" t="s">
        <v>2674</v>
      </c>
      <c r="G1819" s="661">
        <v>290</v>
      </c>
      <c r="H1819" s="633">
        <v>2233</v>
      </c>
      <c r="I1819" s="618"/>
      <c r="J1819" s="619" t="s">
        <v>2599</v>
      </c>
      <c r="K1819" s="618"/>
      <c r="L1819" s="619">
        <v>95</v>
      </c>
      <c r="M1819" s="620">
        <v>90</v>
      </c>
      <c r="N1819" s="619"/>
      <c r="O1819" s="619">
        <v>14</v>
      </c>
      <c r="P1819" s="619" t="s">
        <v>760</v>
      </c>
      <c r="Q1819" s="662" t="s">
        <v>1002</v>
      </c>
      <c r="R1819" s="618"/>
      <c r="S1819" s="621" t="s">
        <v>2641</v>
      </c>
      <c r="T1819" s="619" t="s">
        <v>1090</v>
      </c>
    </row>
    <row r="1820" spans="1:20">
      <c r="A1820" s="622"/>
      <c r="B1820" s="628"/>
      <c r="C1820" s="623"/>
      <c r="D1820" s="623" t="s">
        <v>803</v>
      </c>
      <c r="E1820" s="627" t="s">
        <v>2675</v>
      </c>
      <c r="F1820" s="626"/>
      <c r="G1820" s="623"/>
      <c r="H1820" s="627"/>
      <c r="I1820" s="618"/>
      <c r="J1820" s="618"/>
      <c r="K1820" s="618"/>
      <c r="L1820" s="618"/>
      <c r="M1820" s="618"/>
      <c r="N1820" s="618"/>
      <c r="O1820" s="618"/>
      <c r="P1820" s="618"/>
      <c r="Q1820" s="662"/>
      <c r="R1820" s="618"/>
      <c r="S1820" s="621"/>
      <c r="T1820" s="618"/>
    </row>
    <row r="1821" spans="1:20">
      <c r="A1821" s="622"/>
      <c r="B1821" s="628"/>
      <c r="C1821" s="623"/>
      <c r="D1821" s="623"/>
      <c r="E1821" s="676" t="s">
        <v>2676</v>
      </c>
      <c r="F1821" s="626"/>
      <c r="G1821" s="623"/>
      <c r="H1821" s="627"/>
      <c r="I1821" s="618"/>
      <c r="J1821" s="618"/>
      <c r="K1821" s="618"/>
      <c r="L1821" s="618"/>
      <c r="M1821" s="618"/>
      <c r="N1821" s="618"/>
      <c r="O1821" s="618"/>
      <c r="P1821" s="618"/>
      <c r="Q1821" s="662"/>
      <c r="R1821" s="618"/>
      <c r="S1821" s="621"/>
      <c r="T1821" s="618"/>
    </row>
    <row r="1822" spans="1:20">
      <c r="A1822" s="622"/>
      <c r="B1822" s="628"/>
      <c r="C1822" s="623"/>
      <c r="D1822" s="623"/>
      <c r="E1822" s="676" t="s">
        <v>2677</v>
      </c>
      <c r="F1822" s="626"/>
      <c r="G1822" s="623"/>
      <c r="H1822" s="627"/>
      <c r="I1822" s="618"/>
      <c r="J1822" s="618"/>
      <c r="K1822" s="618"/>
      <c r="L1822" s="618"/>
      <c r="M1822" s="618"/>
      <c r="N1822" s="618"/>
      <c r="O1822" s="618"/>
      <c r="P1822" s="618"/>
      <c r="Q1822" s="662"/>
      <c r="R1822" s="618"/>
      <c r="S1822" s="621"/>
      <c r="T1822" s="618"/>
    </row>
    <row r="1823" spans="1:20">
      <c r="A1823" s="622"/>
      <c r="B1823" s="628"/>
      <c r="C1823" s="623"/>
      <c r="D1823" s="623"/>
      <c r="E1823" s="627" t="s">
        <v>2678</v>
      </c>
      <c r="F1823" s="626"/>
      <c r="G1823" s="623"/>
      <c r="H1823" s="627"/>
      <c r="I1823" s="618"/>
      <c r="J1823" s="618"/>
      <c r="K1823" s="618"/>
      <c r="L1823" s="618"/>
      <c r="M1823" s="618"/>
      <c r="N1823" s="618"/>
      <c r="O1823" s="618"/>
      <c r="P1823" s="618"/>
      <c r="Q1823" s="662"/>
      <c r="R1823" s="618"/>
      <c r="S1823" s="621"/>
      <c r="T1823" s="618"/>
    </row>
    <row r="1824" spans="1:20">
      <c r="A1824" s="630">
        <v>1112234</v>
      </c>
      <c r="B1824" s="628"/>
      <c r="C1824" s="623"/>
      <c r="D1824" s="623"/>
      <c r="E1824" s="627" t="s">
        <v>2214</v>
      </c>
      <c r="F1824" s="631" t="s">
        <v>2679</v>
      </c>
      <c r="G1824" s="661">
        <v>111</v>
      </c>
      <c r="H1824" s="633">
        <v>2234</v>
      </c>
      <c r="I1824" s="618"/>
      <c r="J1824" s="619" t="s">
        <v>2214</v>
      </c>
      <c r="K1824" s="618"/>
      <c r="L1824" s="619">
        <v>81</v>
      </c>
      <c r="M1824" s="620">
        <v>76</v>
      </c>
      <c r="N1824" s="619"/>
      <c r="O1824" s="619">
        <v>14</v>
      </c>
      <c r="P1824" s="619" t="s">
        <v>760</v>
      </c>
      <c r="Q1824" s="662" t="s">
        <v>1002</v>
      </c>
      <c r="R1824" s="618"/>
      <c r="S1824" s="621" t="s">
        <v>2680</v>
      </c>
      <c r="T1824" s="619" t="s">
        <v>2217</v>
      </c>
    </row>
    <row r="1825" spans="1:20">
      <c r="A1825" s="630">
        <v>1122234</v>
      </c>
      <c r="B1825" s="628"/>
      <c r="C1825" s="623"/>
      <c r="D1825" s="623"/>
      <c r="E1825" s="627" t="s">
        <v>2553</v>
      </c>
      <c r="F1825" s="631" t="s">
        <v>2681</v>
      </c>
      <c r="G1825" s="661">
        <v>112</v>
      </c>
      <c r="H1825" s="633">
        <v>2234</v>
      </c>
      <c r="I1825" s="618"/>
      <c r="J1825" s="619" t="s">
        <v>2553</v>
      </c>
      <c r="K1825" s="618"/>
      <c r="L1825" s="619">
        <v>82</v>
      </c>
      <c r="M1825" s="620">
        <v>77</v>
      </c>
      <c r="N1825" s="619"/>
      <c r="O1825" s="619">
        <v>14</v>
      </c>
      <c r="P1825" s="619" t="s">
        <v>760</v>
      </c>
      <c r="Q1825" s="662" t="s">
        <v>1002</v>
      </c>
      <c r="R1825" s="618"/>
      <c r="S1825" s="621" t="s">
        <v>2680</v>
      </c>
      <c r="T1825" s="619" t="s">
        <v>2555</v>
      </c>
    </row>
    <row r="1826" spans="1:20">
      <c r="A1826" s="630">
        <v>1132234</v>
      </c>
      <c r="B1826" s="628"/>
      <c r="C1826" s="623"/>
      <c r="D1826" s="623"/>
      <c r="E1826" s="627" t="s">
        <v>2556</v>
      </c>
      <c r="F1826" s="631" t="s">
        <v>2682</v>
      </c>
      <c r="G1826" s="661">
        <v>113</v>
      </c>
      <c r="H1826" s="633">
        <v>2234</v>
      </c>
      <c r="I1826" s="618"/>
      <c r="J1826" s="619" t="s">
        <v>2556</v>
      </c>
      <c r="K1826" s="618"/>
      <c r="L1826" s="619">
        <v>83</v>
      </c>
      <c r="M1826" s="620">
        <v>78</v>
      </c>
      <c r="N1826" s="619"/>
      <c r="O1826" s="619">
        <v>14</v>
      </c>
      <c r="P1826" s="619" t="s">
        <v>760</v>
      </c>
      <c r="Q1826" s="662" t="s">
        <v>1002</v>
      </c>
      <c r="R1826" s="618"/>
      <c r="S1826" s="621" t="s">
        <v>2680</v>
      </c>
      <c r="T1826" s="619" t="s">
        <v>2220</v>
      </c>
    </row>
    <row r="1827" spans="1:20">
      <c r="A1827" s="630">
        <v>1002234</v>
      </c>
      <c r="B1827" s="628"/>
      <c r="C1827" s="623"/>
      <c r="D1827" s="623"/>
      <c r="E1827" s="627" t="s">
        <v>2223</v>
      </c>
      <c r="F1827" s="631" t="s">
        <v>2683</v>
      </c>
      <c r="G1827" s="661">
        <v>100</v>
      </c>
      <c r="H1827" s="633">
        <v>2234</v>
      </c>
      <c r="I1827" s="618"/>
      <c r="J1827" s="619" t="s">
        <v>2223</v>
      </c>
      <c r="K1827" s="618"/>
      <c r="L1827" s="619">
        <v>86</v>
      </c>
      <c r="M1827" s="620">
        <v>81</v>
      </c>
      <c r="N1827" s="619"/>
      <c r="O1827" s="619">
        <v>14</v>
      </c>
      <c r="P1827" s="619" t="s">
        <v>760</v>
      </c>
      <c r="Q1827" s="662" t="s">
        <v>1002</v>
      </c>
      <c r="R1827" s="618"/>
      <c r="S1827" s="621" t="s">
        <v>2680</v>
      </c>
      <c r="T1827" s="619" t="s">
        <v>1946</v>
      </c>
    </row>
    <row r="1828" spans="1:20">
      <c r="A1828" s="630">
        <v>1402234</v>
      </c>
      <c r="B1828" s="628"/>
      <c r="C1828" s="623"/>
      <c r="D1828" s="623"/>
      <c r="E1828" s="627" t="s">
        <v>2225</v>
      </c>
      <c r="F1828" s="631" t="s">
        <v>2684</v>
      </c>
      <c r="G1828" s="661">
        <v>140</v>
      </c>
      <c r="H1828" s="633">
        <v>2234</v>
      </c>
      <c r="I1828" s="618"/>
      <c r="J1828" s="619" t="s">
        <v>2225</v>
      </c>
      <c r="K1828" s="618"/>
      <c r="L1828" s="619">
        <v>86</v>
      </c>
      <c r="M1828" s="620">
        <v>81</v>
      </c>
      <c r="N1828" s="619"/>
      <c r="O1828" s="619">
        <v>14</v>
      </c>
      <c r="P1828" s="619" t="s">
        <v>760</v>
      </c>
      <c r="Q1828" s="662" t="s">
        <v>1002</v>
      </c>
      <c r="R1828" s="618"/>
      <c r="S1828" s="621" t="s">
        <v>2680</v>
      </c>
      <c r="T1828" s="619" t="s">
        <v>1017</v>
      </c>
    </row>
    <row r="1829" spans="1:20">
      <c r="A1829" s="630">
        <v>1502234</v>
      </c>
      <c r="B1829" s="628"/>
      <c r="C1829" s="623"/>
      <c r="D1829" s="623"/>
      <c r="E1829" s="627" t="s">
        <v>2560</v>
      </c>
      <c r="F1829" s="631" t="s">
        <v>2685</v>
      </c>
      <c r="G1829" s="661">
        <v>150</v>
      </c>
      <c r="H1829" s="633">
        <v>2234</v>
      </c>
      <c r="I1829" s="618"/>
      <c r="J1829" s="619" t="s">
        <v>2560</v>
      </c>
      <c r="K1829" s="618"/>
      <c r="L1829" s="619">
        <v>86</v>
      </c>
      <c r="M1829" s="620">
        <v>81</v>
      </c>
      <c r="N1829" s="619"/>
      <c r="O1829" s="619">
        <v>14</v>
      </c>
      <c r="P1829" s="619" t="s">
        <v>760</v>
      </c>
      <c r="Q1829" s="662" t="s">
        <v>1002</v>
      </c>
      <c r="R1829" s="618"/>
      <c r="S1829" s="621" t="s">
        <v>2680</v>
      </c>
      <c r="T1829" s="619" t="s">
        <v>2562</v>
      </c>
    </row>
    <row r="1830" spans="1:20">
      <c r="A1830" s="630">
        <v>3002234</v>
      </c>
      <c r="B1830" s="628"/>
      <c r="C1830" s="623"/>
      <c r="D1830" s="623"/>
      <c r="E1830" s="627" t="s">
        <v>2563</v>
      </c>
      <c r="F1830" s="631" t="s">
        <v>2686</v>
      </c>
      <c r="G1830" s="661">
        <v>300</v>
      </c>
      <c r="H1830" s="633">
        <v>2234</v>
      </c>
      <c r="I1830" s="618"/>
      <c r="J1830" s="619" t="s">
        <v>2563</v>
      </c>
      <c r="K1830" s="618"/>
      <c r="L1830" s="619">
        <v>101</v>
      </c>
      <c r="M1830" s="620">
        <v>96</v>
      </c>
      <c r="N1830" s="619"/>
      <c r="O1830" s="619">
        <v>14</v>
      </c>
      <c r="P1830" s="619" t="s">
        <v>760</v>
      </c>
      <c r="Q1830" s="662"/>
      <c r="R1830" s="618"/>
      <c r="S1830" s="621" t="s">
        <v>2680</v>
      </c>
      <c r="T1830" s="619" t="s">
        <v>2565</v>
      </c>
    </row>
    <row r="1831" spans="1:20">
      <c r="A1831" s="622"/>
      <c r="B1831" s="628"/>
      <c r="C1831" s="623"/>
      <c r="D1831" s="623"/>
      <c r="E1831" s="627" t="s">
        <v>2230</v>
      </c>
      <c r="F1831" s="626"/>
      <c r="G1831" s="623"/>
      <c r="H1831" s="627"/>
      <c r="I1831" s="618"/>
      <c r="J1831" s="618"/>
      <c r="K1831" s="618"/>
      <c r="L1831" s="618"/>
      <c r="M1831" s="618"/>
      <c r="N1831" s="618"/>
      <c r="O1831" s="618"/>
      <c r="P1831" s="618"/>
      <c r="Q1831" s="662"/>
      <c r="R1831" s="618"/>
      <c r="S1831" s="621"/>
      <c r="T1831" s="618"/>
    </row>
    <row r="1832" spans="1:20">
      <c r="A1832" s="630">
        <v>4302234</v>
      </c>
      <c r="B1832" s="628"/>
      <c r="C1832" s="623"/>
      <c r="D1832" s="623"/>
      <c r="E1832" s="627" t="s">
        <v>2231</v>
      </c>
      <c r="F1832" s="631" t="s">
        <v>2687</v>
      </c>
      <c r="G1832" s="661">
        <v>430</v>
      </c>
      <c r="H1832" s="633">
        <v>2234</v>
      </c>
      <c r="I1832" s="618"/>
      <c r="J1832" s="619" t="s">
        <v>2231</v>
      </c>
      <c r="K1832" s="618"/>
      <c r="L1832" s="619">
        <v>107</v>
      </c>
      <c r="M1832" s="620">
        <v>102</v>
      </c>
      <c r="N1832" s="619"/>
      <c r="O1832" s="619">
        <v>14</v>
      </c>
      <c r="P1832" s="619" t="s">
        <v>760</v>
      </c>
      <c r="Q1832" s="662"/>
      <c r="R1832" s="618"/>
      <c r="S1832" s="621" t="s">
        <v>2680</v>
      </c>
      <c r="T1832" s="619" t="s">
        <v>1021</v>
      </c>
    </row>
    <row r="1833" spans="1:20">
      <c r="A1833" s="630">
        <v>4422234</v>
      </c>
      <c r="B1833" s="628"/>
      <c r="C1833" s="623"/>
      <c r="D1833" s="623"/>
      <c r="E1833" s="627" t="s">
        <v>2233</v>
      </c>
      <c r="F1833" s="631" t="s">
        <v>2688</v>
      </c>
      <c r="G1833" s="661">
        <v>442</v>
      </c>
      <c r="H1833" s="633">
        <v>2234</v>
      </c>
      <c r="I1833" s="618"/>
      <c r="J1833" s="619" t="s">
        <v>2233</v>
      </c>
      <c r="K1833" s="618"/>
      <c r="L1833" s="619">
        <v>106</v>
      </c>
      <c r="M1833" s="620">
        <v>101</v>
      </c>
      <c r="N1833" s="619"/>
      <c r="O1833" s="619">
        <v>14</v>
      </c>
      <c r="P1833" s="619" t="s">
        <v>760</v>
      </c>
      <c r="Q1833" s="662"/>
      <c r="R1833" s="618"/>
      <c r="S1833" s="621" t="s">
        <v>2680</v>
      </c>
      <c r="T1833" s="619" t="s">
        <v>1023</v>
      </c>
    </row>
    <row r="1834" spans="1:20">
      <c r="A1834" s="630">
        <v>4002234</v>
      </c>
      <c r="B1834" s="628"/>
      <c r="C1834" s="623"/>
      <c r="D1834" s="623"/>
      <c r="E1834" s="627" t="s">
        <v>2235</v>
      </c>
      <c r="F1834" s="631" t="s">
        <v>2689</v>
      </c>
      <c r="G1834" s="661">
        <v>400</v>
      </c>
      <c r="H1834" s="633">
        <v>2234</v>
      </c>
      <c r="I1834" s="618"/>
      <c r="J1834" s="619" t="s">
        <v>2235</v>
      </c>
      <c r="K1834" s="618"/>
      <c r="L1834" s="619">
        <v>108</v>
      </c>
      <c r="M1834" s="620">
        <v>103</v>
      </c>
      <c r="N1834" s="619"/>
      <c r="O1834" s="619">
        <v>14</v>
      </c>
      <c r="P1834" s="619" t="s">
        <v>760</v>
      </c>
      <c r="Q1834" s="662"/>
      <c r="R1834" s="618"/>
      <c r="S1834" s="621" t="s">
        <v>2680</v>
      </c>
      <c r="T1834" s="619" t="s">
        <v>2237</v>
      </c>
    </row>
    <row r="1835" spans="1:20">
      <c r="A1835" s="622"/>
      <c r="B1835" s="628"/>
      <c r="C1835" s="623"/>
      <c r="D1835" s="623"/>
      <c r="E1835" s="627" t="s">
        <v>1394</v>
      </c>
      <c r="F1835" s="626"/>
      <c r="G1835" s="623"/>
      <c r="H1835" s="627"/>
      <c r="I1835" s="618"/>
      <c r="J1835" s="618"/>
      <c r="K1835" s="618"/>
      <c r="L1835" s="618"/>
      <c r="M1835" s="618"/>
      <c r="N1835" s="618"/>
      <c r="O1835" s="618"/>
      <c r="P1835" s="618"/>
      <c r="Q1835" s="662"/>
      <c r="R1835" s="618"/>
      <c r="S1835" s="621"/>
      <c r="T1835" s="618"/>
    </row>
    <row r="1836" spans="1:20">
      <c r="A1836" s="630">
        <v>5822234</v>
      </c>
      <c r="B1836" s="628"/>
      <c r="C1836" s="623"/>
      <c r="D1836" s="623"/>
      <c r="E1836" s="627" t="s">
        <v>2238</v>
      </c>
      <c r="F1836" s="631" t="s">
        <v>2690</v>
      </c>
      <c r="G1836" s="661">
        <v>582</v>
      </c>
      <c r="H1836" s="633">
        <v>2234</v>
      </c>
      <c r="I1836" s="618"/>
      <c r="J1836" s="619" t="s">
        <v>2238</v>
      </c>
      <c r="K1836" s="618"/>
      <c r="L1836" s="619">
        <v>118</v>
      </c>
      <c r="M1836" s="620">
        <v>109</v>
      </c>
      <c r="N1836" s="619"/>
      <c r="O1836" s="619">
        <v>14</v>
      </c>
      <c r="P1836" s="619" t="s">
        <v>760</v>
      </c>
      <c r="Q1836" s="662"/>
      <c r="R1836" s="618"/>
      <c r="S1836" s="621" t="s">
        <v>2680</v>
      </c>
      <c r="T1836" s="619" t="s">
        <v>1037</v>
      </c>
    </row>
    <row r="1837" spans="1:20">
      <c r="A1837" s="630">
        <v>5002234</v>
      </c>
      <c r="B1837" s="628"/>
      <c r="C1837" s="623"/>
      <c r="D1837" s="623"/>
      <c r="E1837" s="627" t="s">
        <v>2240</v>
      </c>
      <c r="F1837" s="631" t="s">
        <v>2691</v>
      </c>
      <c r="G1837" s="661">
        <v>500</v>
      </c>
      <c r="H1837" s="633">
        <v>2234</v>
      </c>
      <c r="I1837" s="618"/>
      <c r="J1837" s="619" t="s">
        <v>2240</v>
      </c>
      <c r="K1837" s="618"/>
      <c r="L1837" s="619">
        <v>119</v>
      </c>
      <c r="M1837" s="620">
        <v>110</v>
      </c>
      <c r="N1837" s="619"/>
      <c r="O1837" s="619">
        <v>14</v>
      </c>
      <c r="P1837" s="619" t="s">
        <v>760</v>
      </c>
      <c r="Q1837" s="662"/>
      <c r="R1837" s="618"/>
      <c r="S1837" s="621" t="s">
        <v>2680</v>
      </c>
      <c r="T1837" s="619" t="s">
        <v>252</v>
      </c>
    </row>
    <row r="1838" spans="1:20">
      <c r="A1838" s="622"/>
      <c r="B1838" s="628"/>
      <c r="C1838" s="623"/>
      <c r="D1838" s="623"/>
      <c r="E1838" s="627" t="s">
        <v>2242</v>
      </c>
      <c r="F1838" s="626"/>
      <c r="G1838" s="623"/>
      <c r="H1838" s="627"/>
      <c r="I1838" s="618"/>
      <c r="J1838" s="618"/>
      <c r="K1838" s="618"/>
      <c r="L1838" s="618"/>
      <c r="M1838" s="618"/>
      <c r="N1838" s="618"/>
      <c r="O1838" s="618"/>
      <c r="P1838" s="618"/>
      <c r="Q1838" s="662"/>
      <c r="R1838" s="618"/>
      <c r="S1838" s="621"/>
      <c r="T1838" s="618"/>
    </row>
    <row r="1839" spans="1:20">
      <c r="A1839" s="630">
        <v>6152234</v>
      </c>
      <c r="B1839" s="628"/>
      <c r="C1839" s="623"/>
      <c r="D1839" s="623"/>
      <c r="E1839" s="627" t="s">
        <v>2243</v>
      </c>
      <c r="F1839" s="631" t="s">
        <v>2692</v>
      </c>
      <c r="G1839" s="661">
        <v>615</v>
      </c>
      <c r="H1839" s="633">
        <v>2234</v>
      </c>
      <c r="I1839" s="618"/>
      <c r="J1839" s="619" t="s">
        <v>2243</v>
      </c>
      <c r="K1839" s="618"/>
      <c r="L1839" s="619">
        <v>126</v>
      </c>
      <c r="M1839" s="620">
        <v>117</v>
      </c>
      <c r="N1839" s="619"/>
      <c r="O1839" s="619">
        <v>14</v>
      </c>
      <c r="P1839" s="619" t="s">
        <v>760</v>
      </c>
      <c r="Q1839" s="662" t="s">
        <v>1043</v>
      </c>
      <c r="R1839" s="618"/>
      <c r="S1839" s="621" t="s">
        <v>2680</v>
      </c>
      <c r="T1839" s="619" t="s">
        <v>1041</v>
      </c>
    </row>
    <row r="1840" spans="1:20">
      <c r="A1840" s="630">
        <v>6102234</v>
      </c>
      <c r="B1840" s="628"/>
      <c r="C1840" s="623"/>
      <c r="D1840" s="623"/>
      <c r="E1840" s="627" t="s">
        <v>2245</v>
      </c>
      <c r="F1840" s="631" t="s">
        <v>2693</v>
      </c>
      <c r="G1840" s="661">
        <v>610</v>
      </c>
      <c r="H1840" s="633">
        <v>2234</v>
      </c>
      <c r="I1840" s="618"/>
      <c r="J1840" s="619" t="s">
        <v>2245</v>
      </c>
      <c r="K1840" s="618"/>
      <c r="L1840" s="619">
        <v>122</v>
      </c>
      <c r="M1840" s="620">
        <v>113</v>
      </c>
      <c r="N1840" s="619"/>
      <c r="O1840" s="619">
        <v>14</v>
      </c>
      <c r="P1840" s="619" t="s">
        <v>760</v>
      </c>
      <c r="Q1840" s="662" t="s">
        <v>1043</v>
      </c>
      <c r="R1840" s="618"/>
      <c r="S1840" s="621" t="s">
        <v>2680</v>
      </c>
      <c r="T1840" s="619" t="s">
        <v>39</v>
      </c>
    </row>
    <row r="1841" spans="1:20">
      <c r="A1841" s="630">
        <v>6002234</v>
      </c>
      <c r="B1841" s="628"/>
      <c r="C1841" s="623"/>
      <c r="D1841" s="623"/>
      <c r="E1841" s="627" t="s">
        <v>2247</v>
      </c>
      <c r="F1841" s="631" t="s">
        <v>2694</v>
      </c>
      <c r="G1841" s="661">
        <v>600</v>
      </c>
      <c r="H1841" s="633">
        <v>2234</v>
      </c>
      <c r="I1841" s="618"/>
      <c r="J1841" s="619" t="s">
        <v>2247</v>
      </c>
      <c r="K1841" s="618"/>
      <c r="L1841" s="619">
        <v>126</v>
      </c>
      <c r="M1841" s="620">
        <v>117</v>
      </c>
      <c r="N1841" s="619"/>
      <c r="O1841" s="619">
        <v>14</v>
      </c>
      <c r="P1841" s="619" t="s">
        <v>760</v>
      </c>
      <c r="Q1841" s="662"/>
      <c r="R1841" s="618"/>
      <c r="S1841" s="621" t="s">
        <v>2680</v>
      </c>
      <c r="T1841" s="619" t="s">
        <v>1048</v>
      </c>
    </row>
    <row r="1842" spans="1:20">
      <c r="A1842" s="622"/>
      <c r="B1842" s="628"/>
      <c r="C1842" s="623"/>
      <c r="D1842" s="623"/>
      <c r="E1842" s="627" t="s">
        <v>2249</v>
      </c>
      <c r="F1842" s="626"/>
      <c r="G1842" s="623"/>
      <c r="H1842" s="627"/>
      <c r="I1842" s="618"/>
      <c r="J1842" s="618"/>
      <c r="K1842" s="618"/>
      <c r="L1842" s="618"/>
      <c r="M1842" s="618"/>
      <c r="N1842" s="618"/>
      <c r="O1842" s="618"/>
      <c r="P1842" s="618"/>
      <c r="Q1842" s="662"/>
      <c r="R1842" s="618"/>
      <c r="S1842" s="621"/>
      <c r="T1842" s="618"/>
    </row>
    <row r="1843" spans="1:20">
      <c r="A1843" s="630">
        <v>7342234</v>
      </c>
      <c r="B1843" s="628"/>
      <c r="C1843" s="623"/>
      <c r="D1843" s="623"/>
      <c r="E1843" s="627" t="s">
        <v>2250</v>
      </c>
      <c r="F1843" s="631" t="s">
        <v>2695</v>
      </c>
      <c r="G1843" s="661">
        <v>734</v>
      </c>
      <c r="H1843" s="633">
        <v>2234</v>
      </c>
      <c r="I1843" s="618"/>
      <c r="J1843" s="619" t="s">
        <v>2250</v>
      </c>
      <c r="K1843" s="618"/>
      <c r="L1843" s="619">
        <v>131</v>
      </c>
      <c r="M1843" s="620">
        <v>122</v>
      </c>
      <c r="N1843" s="619"/>
      <c r="O1843" s="619">
        <v>14</v>
      </c>
      <c r="P1843" s="619" t="s">
        <v>760</v>
      </c>
      <c r="Q1843" s="662"/>
      <c r="R1843" s="618"/>
      <c r="S1843" s="621" t="s">
        <v>2680</v>
      </c>
      <c r="T1843" s="619" t="s">
        <v>1051</v>
      </c>
    </row>
    <row r="1844" spans="1:20">
      <c r="A1844" s="630">
        <v>7352234</v>
      </c>
      <c r="B1844" s="628"/>
      <c r="C1844" s="623"/>
      <c r="D1844" s="623"/>
      <c r="E1844" s="627" t="s">
        <v>2252</v>
      </c>
      <c r="F1844" s="631" t="s">
        <v>2696</v>
      </c>
      <c r="G1844" s="661">
        <v>735</v>
      </c>
      <c r="H1844" s="633">
        <v>2234</v>
      </c>
      <c r="I1844" s="618"/>
      <c r="J1844" s="619" t="s">
        <v>2252</v>
      </c>
      <c r="K1844" s="618"/>
      <c r="L1844" s="619">
        <v>131</v>
      </c>
      <c r="M1844" s="620">
        <v>122</v>
      </c>
      <c r="N1844" s="619"/>
      <c r="O1844" s="619">
        <v>14</v>
      </c>
      <c r="P1844" s="619" t="s">
        <v>760</v>
      </c>
      <c r="Q1844" s="662"/>
      <c r="R1844" s="618"/>
      <c r="S1844" s="621" t="s">
        <v>2680</v>
      </c>
      <c r="T1844" s="619" t="s">
        <v>1053</v>
      </c>
    </row>
    <row r="1845" spans="1:20">
      <c r="A1845" s="630">
        <v>7302234</v>
      </c>
      <c r="B1845" s="628"/>
      <c r="C1845" s="623"/>
      <c r="D1845" s="623"/>
      <c r="E1845" s="627" t="s">
        <v>2254</v>
      </c>
      <c r="F1845" s="631" t="s">
        <v>2697</v>
      </c>
      <c r="G1845" s="661">
        <v>730</v>
      </c>
      <c r="H1845" s="633">
        <v>2234</v>
      </c>
      <c r="I1845" s="618"/>
      <c r="J1845" s="619" t="s">
        <v>2254</v>
      </c>
      <c r="K1845" s="618"/>
      <c r="L1845" s="619">
        <v>131</v>
      </c>
      <c r="M1845" s="620">
        <v>122</v>
      </c>
      <c r="N1845" s="619"/>
      <c r="O1845" s="619">
        <v>14</v>
      </c>
      <c r="P1845" s="619" t="s">
        <v>760</v>
      </c>
      <c r="Q1845" s="662"/>
      <c r="R1845" s="618"/>
      <c r="S1845" s="621" t="s">
        <v>2680</v>
      </c>
      <c r="T1845" s="619" t="s">
        <v>1055</v>
      </c>
    </row>
    <row r="1846" spans="1:20">
      <c r="A1846" s="630">
        <v>7002234</v>
      </c>
      <c r="B1846" s="628"/>
      <c r="C1846" s="623"/>
      <c r="D1846" s="623"/>
      <c r="E1846" s="627" t="s">
        <v>2256</v>
      </c>
      <c r="F1846" s="631" t="s">
        <v>2698</v>
      </c>
      <c r="G1846" s="661">
        <v>700</v>
      </c>
      <c r="H1846" s="633">
        <v>2234</v>
      </c>
      <c r="I1846" s="618"/>
      <c r="J1846" s="619" t="s">
        <v>2256</v>
      </c>
      <c r="K1846" s="618"/>
      <c r="L1846" s="619">
        <v>132</v>
      </c>
      <c r="M1846" s="620">
        <v>123</v>
      </c>
      <c r="N1846" s="619"/>
      <c r="O1846" s="619">
        <v>14</v>
      </c>
      <c r="P1846" s="619" t="s">
        <v>760</v>
      </c>
      <c r="Q1846" s="662"/>
      <c r="R1846" s="618"/>
      <c r="S1846" s="621" t="s">
        <v>2680</v>
      </c>
      <c r="T1846" s="619" t="s">
        <v>1057</v>
      </c>
    </row>
    <row r="1847" spans="1:20">
      <c r="A1847" s="622"/>
      <c r="B1847" s="628"/>
      <c r="C1847" s="623"/>
      <c r="D1847" s="623"/>
      <c r="E1847" s="627" t="s">
        <v>2258</v>
      </c>
      <c r="F1847" s="626"/>
      <c r="G1847" s="623"/>
      <c r="H1847" s="627"/>
      <c r="I1847" s="618"/>
      <c r="J1847" s="618"/>
      <c r="K1847" s="618"/>
      <c r="L1847" s="618"/>
      <c r="M1847" s="618"/>
      <c r="N1847" s="618"/>
      <c r="O1847" s="618"/>
      <c r="P1847" s="618"/>
      <c r="Q1847" s="662"/>
      <c r="R1847" s="618"/>
      <c r="S1847" s="621"/>
      <c r="T1847" s="618"/>
    </row>
    <row r="1848" spans="1:20">
      <c r="A1848" s="630">
        <v>8952234</v>
      </c>
      <c r="B1848" s="628"/>
      <c r="C1848" s="623"/>
      <c r="D1848" s="623"/>
      <c r="E1848" s="627" t="s">
        <v>2259</v>
      </c>
      <c r="F1848" s="631" t="s">
        <v>2699</v>
      </c>
      <c r="G1848" s="661">
        <v>895</v>
      </c>
      <c r="H1848" s="633">
        <v>2234</v>
      </c>
      <c r="I1848" s="618"/>
      <c r="J1848" s="619" t="s">
        <v>2259</v>
      </c>
      <c r="K1848" s="618"/>
      <c r="L1848" s="619">
        <v>139</v>
      </c>
      <c r="M1848" s="620">
        <v>129</v>
      </c>
      <c r="N1848" s="619"/>
      <c r="O1848" s="619">
        <v>14</v>
      </c>
      <c r="P1848" s="619" t="s">
        <v>760</v>
      </c>
      <c r="Q1848" s="662"/>
      <c r="R1848" s="618"/>
      <c r="S1848" s="621" t="s">
        <v>2680</v>
      </c>
      <c r="T1848" s="619" t="s">
        <v>2261</v>
      </c>
    </row>
    <row r="1849" spans="1:20">
      <c r="A1849" s="630">
        <v>8002234</v>
      </c>
      <c r="B1849" s="628"/>
      <c r="C1849" s="623"/>
      <c r="D1849" s="623"/>
      <c r="E1849" s="627" t="s">
        <v>2262</v>
      </c>
      <c r="F1849" s="631" t="s">
        <v>2700</v>
      </c>
      <c r="G1849" s="661">
        <v>800</v>
      </c>
      <c r="H1849" s="633">
        <v>2234</v>
      </c>
      <c r="I1849" s="618"/>
      <c r="J1849" s="619" t="s">
        <v>2262</v>
      </c>
      <c r="K1849" s="618"/>
      <c r="L1849" s="619">
        <v>139</v>
      </c>
      <c r="M1849" s="620">
        <v>129</v>
      </c>
      <c r="N1849" s="619"/>
      <c r="O1849" s="619">
        <v>14</v>
      </c>
      <c r="P1849" s="619" t="s">
        <v>760</v>
      </c>
      <c r="Q1849" s="662"/>
      <c r="R1849" s="618"/>
      <c r="S1849" s="621" t="s">
        <v>2680</v>
      </c>
      <c r="T1849" s="619" t="s">
        <v>1061</v>
      </c>
    </row>
    <row r="1850" spans="1:20">
      <c r="A1850" s="622"/>
      <c r="B1850" s="628"/>
      <c r="C1850" s="623"/>
      <c r="D1850" s="623"/>
      <c r="E1850" s="627" t="s">
        <v>2264</v>
      </c>
      <c r="F1850" s="626"/>
      <c r="G1850" s="623"/>
      <c r="H1850" s="627"/>
      <c r="I1850" s="618"/>
      <c r="J1850" s="618"/>
      <c r="K1850" s="618"/>
      <c r="L1850" s="618"/>
      <c r="M1850" s="618"/>
      <c r="N1850" s="618"/>
      <c r="O1850" s="618"/>
      <c r="P1850" s="618"/>
      <c r="Q1850" s="662"/>
      <c r="R1850" s="618"/>
      <c r="S1850" s="621"/>
      <c r="T1850" s="618"/>
    </row>
    <row r="1851" spans="1:20">
      <c r="A1851" s="630">
        <v>2102234</v>
      </c>
      <c r="B1851" s="628"/>
      <c r="C1851" s="623"/>
      <c r="D1851" s="623"/>
      <c r="E1851" s="627" t="s">
        <v>2265</v>
      </c>
      <c r="F1851" s="631" t="s">
        <v>2701</v>
      </c>
      <c r="G1851" s="661">
        <v>210</v>
      </c>
      <c r="H1851" s="633">
        <v>2234</v>
      </c>
      <c r="I1851" s="618"/>
      <c r="J1851" s="619" t="s">
        <v>2265</v>
      </c>
      <c r="K1851" s="618"/>
      <c r="L1851" s="619">
        <v>89</v>
      </c>
      <c r="M1851" s="620">
        <v>84</v>
      </c>
      <c r="N1851" s="619"/>
      <c r="O1851" s="619">
        <v>14</v>
      </c>
      <c r="P1851" s="619" t="s">
        <v>760</v>
      </c>
      <c r="Q1851" s="662" t="s">
        <v>1002</v>
      </c>
      <c r="R1851" s="618"/>
      <c r="S1851" s="621" t="s">
        <v>2680</v>
      </c>
      <c r="T1851" s="619" t="s">
        <v>1064</v>
      </c>
    </row>
    <row r="1852" spans="1:20">
      <c r="A1852" s="630">
        <v>2202234</v>
      </c>
      <c r="B1852" s="628"/>
      <c r="C1852" s="623"/>
      <c r="D1852" s="623"/>
      <c r="E1852" s="627" t="s">
        <v>2267</v>
      </c>
      <c r="F1852" s="631" t="s">
        <v>2702</v>
      </c>
      <c r="G1852" s="661">
        <v>220</v>
      </c>
      <c r="H1852" s="633">
        <v>2234</v>
      </c>
      <c r="I1852" s="618"/>
      <c r="J1852" s="619" t="s">
        <v>2267</v>
      </c>
      <c r="K1852" s="618"/>
      <c r="L1852" s="619">
        <v>90</v>
      </c>
      <c r="M1852" s="620">
        <v>85</v>
      </c>
      <c r="N1852" s="619"/>
      <c r="O1852" s="619">
        <v>14</v>
      </c>
      <c r="P1852" s="619" t="s">
        <v>760</v>
      </c>
      <c r="Q1852" s="662" t="s">
        <v>1002</v>
      </c>
      <c r="R1852" s="618"/>
      <c r="S1852" s="621" t="s">
        <v>2680</v>
      </c>
      <c r="T1852" s="619" t="s">
        <v>1066</v>
      </c>
    </row>
    <row r="1853" spans="1:20">
      <c r="A1853" s="630">
        <v>2252234</v>
      </c>
      <c r="B1853" s="628"/>
      <c r="C1853" s="623"/>
      <c r="D1853" s="623"/>
      <c r="E1853" s="627" t="s">
        <v>2269</v>
      </c>
      <c r="F1853" s="631" t="s">
        <v>2703</v>
      </c>
      <c r="G1853" s="661">
        <v>225</v>
      </c>
      <c r="H1853" s="633">
        <v>2234</v>
      </c>
      <c r="I1853" s="618"/>
      <c r="J1853" s="619" t="s">
        <v>2269</v>
      </c>
      <c r="K1853" s="618"/>
      <c r="L1853" s="619">
        <v>91</v>
      </c>
      <c r="M1853" s="620">
        <v>86</v>
      </c>
      <c r="N1853" s="619"/>
      <c r="O1853" s="619">
        <v>14</v>
      </c>
      <c r="P1853" s="619" t="s">
        <v>760</v>
      </c>
      <c r="Q1853" s="662" t="s">
        <v>1002</v>
      </c>
      <c r="R1853" s="618"/>
      <c r="S1853" s="621" t="s">
        <v>2680</v>
      </c>
      <c r="T1853" s="619" t="s">
        <v>23</v>
      </c>
    </row>
    <row r="1854" spans="1:20">
      <c r="A1854" s="622"/>
      <c r="B1854" s="628"/>
      <c r="C1854" s="623"/>
      <c r="D1854" s="623"/>
      <c r="E1854" s="627" t="s">
        <v>2271</v>
      </c>
      <c r="F1854" s="626"/>
      <c r="G1854" s="623"/>
      <c r="H1854" s="627"/>
      <c r="I1854" s="618"/>
      <c r="J1854" s="618"/>
      <c r="K1854" s="618"/>
      <c r="L1854" s="618"/>
      <c r="M1854" s="618"/>
      <c r="N1854" s="618"/>
      <c r="O1854" s="618"/>
      <c r="P1854" s="618"/>
      <c r="Q1854" s="662"/>
      <c r="R1854" s="618"/>
      <c r="S1854" s="621"/>
      <c r="T1854" s="618"/>
    </row>
    <row r="1855" spans="1:20">
      <c r="A1855" s="630">
        <v>2312234</v>
      </c>
      <c r="B1855" s="628"/>
      <c r="C1855" s="623"/>
      <c r="D1855" s="623"/>
      <c r="E1855" s="627" t="s">
        <v>2272</v>
      </c>
      <c r="F1855" s="631" t="s">
        <v>2704</v>
      </c>
      <c r="G1855" s="661">
        <v>231</v>
      </c>
      <c r="H1855" s="633">
        <v>2234</v>
      </c>
      <c r="I1855" s="618"/>
      <c r="J1855" s="619" t="s">
        <v>2272</v>
      </c>
      <c r="K1855" s="618"/>
      <c r="L1855" s="619">
        <v>92</v>
      </c>
      <c r="M1855" s="620">
        <v>87</v>
      </c>
      <c r="N1855" s="619"/>
      <c r="O1855" s="619">
        <v>14</v>
      </c>
      <c r="P1855" s="619" t="s">
        <v>760</v>
      </c>
      <c r="Q1855" s="662" t="s">
        <v>1002</v>
      </c>
      <c r="R1855" s="618"/>
      <c r="S1855" s="621" t="s">
        <v>2680</v>
      </c>
      <c r="T1855" s="619" t="s">
        <v>1072</v>
      </c>
    </row>
    <row r="1856" spans="1:20">
      <c r="A1856" s="630">
        <v>2332234</v>
      </c>
      <c r="B1856" s="628"/>
      <c r="C1856" s="623"/>
      <c r="D1856" s="623"/>
      <c r="E1856" s="627" t="s">
        <v>2274</v>
      </c>
      <c r="F1856" s="631" t="s">
        <v>2705</v>
      </c>
      <c r="G1856" s="661">
        <v>233</v>
      </c>
      <c r="H1856" s="633">
        <v>2234</v>
      </c>
      <c r="I1856" s="618"/>
      <c r="J1856" s="619" t="s">
        <v>2274</v>
      </c>
      <c r="K1856" s="618"/>
      <c r="L1856" s="619">
        <v>92</v>
      </c>
      <c r="M1856" s="620">
        <v>87</v>
      </c>
      <c r="N1856" s="619"/>
      <c r="O1856" s="619">
        <v>14</v>
      </c>
      <c r="P1856" s="619" t="s">
        <v>760</v>
      </c>
      <c r="Q1856" s="662" t="s">
        <v>1002</v>
      </c>
      <c r="R1856" s="618"/>
      <c r="S1856" s="621" t="s">
        <v>2680</v>
      </c>
      <c r="T1856" s="619" t="s">
        <v>2276</v>
      </c>
    </row>
    <row r="1857" spans="1:20">
      <c r="A1857" s="630">
        <v>2392234</v>
      </c>
      <c r="B1857" s="628"/>
      <c r="C1857" s="623"/>
      <c r="D1857" s="623"/>
      <c r="E1857" s="627" t="s">
        <v>2277</v>
      </c>
      <c r="F1857" s="631" t="s">
        <v>2706</v>
      </c>
      <c r="G1857" s="661">
        <v>239</v>
      </c>
      <c r="H1857" s="633">
        <v>2234</v>
      </c>
      <c r="I1857" s="618"/>
      <c r="J1857" s="619" t="s">
        <v>2277</v>
      </c>
      <c r="K1857" s="618"/>
      <c r="L1857" s="619">
        <v>92</v>
      </c>
      <c r="M1857" s="620">
        <v>87</v>
      </c>
      <c r="N1857" s="619"/>
      <c r="O1857" s="619">
        <v>14</v>
      </c>
      <c r="P1857" s="619" t="s">
        <v>760</v>
      </c>
      <c r="Q1857" s="662" t="s">
        <v>1002</v>
      </c>
      <c r="R1857" s="618"/>
      <c r="S1857" s="621" t="s">
        <v>2680</v>
      </c>
      <c r="T1857" s="619" t="s">
        <v>1078</v>
      </c>
    </row>
    <row r="1858" spans="1:20">
      <c r="A1858" s="630">
        <v>2402234</v>
      </c>
      <c r="B1858" s="628"/>
      <c r="C1858" s="623"/>
      <c r="D1858" s="623"/>
      <c r="E1858" s="627" t="s">
        <v>2586</v>
      </c>
      <c r="F1858" s="631" t="s">
        <v>2707</v>
      </c>
      <c r="G1858" s="661">
        <v>240</v>
      </c>
      <c r="H1858" s="633">
        <v>2234</v>
      </c>
      <c r="I1858" s="618"/>
      <c r="J1858" s="619" t="s">
        <v>2586</v>
      </c>
      <c r="K1858" s="618"/>
      <c r="L1858" s="619">
        <v>95</v>
      </c>
      <c r="M1858" s="620">
        <v>90</v>
      </c>
      <c r="N1858" s="619"/>
      <c r="O1858" s="619">
        <v>14</v>
      </c>
      <c r="P1858" s="619" t="s">
        <v>760</v>
      </c>
      <c r="Q1858" s="662" t="s">
        <v>1002</v>
      </c>
      <c r="R1858" s="618"/>
      <c r="S1858" s="621" t="s">
        <v>2680</v>
      </c>
      <c r="T1858" s="619" t="s">
        <v>2588</v>
      </c>
    </row>
    <row r="1859" spans="1:20">
      <c r="A1859" s="630">
        <v>2502234</v>
      </c>
      <c r="B1859" s="628"/>
      <c r="C1859" s="623"/>
      <c r="D1859" s="623"/>
      <c r="E1859" s="627" t="s">
        <v>2589</v>
      </c>
      <c r="F1859" s="631" t="s">
        <v>2708</v>
      </c>
      <c r="G1859" s="661">
        <v>250</v>
      </c>
      <c r="H1859" s="633">
        <v>2234</v>
      </c>
      <c r="I1859" s="618"/>
      <c r="J1859" s="619" t="s">
        <v>2589</v>
      </c>
      <c r="K1859" s="618"/>
      <c r="L1859" s="619">
        <v>93</v>
      </c>
      <c r="M1859" s="620">
        <v>88</v>
      </c>
      <c r="N1859" s="619"/>
      <c r="O1859" s="619">
        <v>14</v>
      </c>
      <c r="P1859" s="619" t="s">
        <v>760</v>
      </c>
      <c r="Q1859" s="662" t="s">
        <v>1002</v>
      </c>
      <c r="R1859" s="618"/>
      <c r="S1859" s="621" t="s">
        <v>2680</v>
      </c>
      <c r="T1859" s="619" t="s">
        <v>1079</v>
      </c>
    </row>
    <row r="1860" spans="1:20">
      <c r="A1860" s="630">
        <v>2602234</v>
      </c>
      <c r="B1860" s="628"/>
      <c r="C1860" s="623"/>
      <c r="D1860" s="623"/>
      <c r="E1860" s="627" t="s">
        <v>2591</v>
      </c>
      <c r="F1860" s="631" t="s">
        <v>2709</v>
      </c>
      <c r="G1860" s="661">
        <v>260</v>
      </c>
      <c r="H1860" s="633">
        <v>2234</v>
      </c>
      <c r="I1860" s="618"/>
      <c r="J1860" s="619" t="s">
        <v>2591</v>
      </c>
      <c r="K1860" s="618"/>
      <c r="L1860" s="619">
        <v>95</v>
      </c>
      <c r="M1860" s="620">
        <v>90</v>
      </c>
      <c r="N1860" s="619"/>
      <c r="O1860" s="619">
        <v>14</v>
      </c>
      <c r="P1860" s="619" t="s">
        <v>760</v>
      </c>
      <c r="Q1860" s="662" t="s">
        <v>1002</v>
      </c>
      <c r="R1860" s="618"/>
      <c r="S1860" s="621" t="s">
        <v>2680</v>
      </c>
      <c r="T1860" s="619" t="s">
        <v>1081</v>
      </c>
    </row>
    <row r="1861" spans="1:20">
      <c r="A1861" s="630">
        <v>2702234</v>
      </c>
      <c r="B1861" s="628"/>
      <c r="C1861" s="623"/>
      <c r="D1861" s="623"/>
      <c r="E1861" s="627" t="s">
        <v>2593</v>
      </c>
      <c r="F1861" s="631" t="s">
        <v>2710</v>
      </c>
      <c r="G1861" s="661">
        <v>270</v>
      </c>
      <c r="H1861" s="633">
        <v>2234</v>
      </c>
      <c r="I1861" s="618"/>
      <c r="J1861" s="619" t="s">
        <v>2593</v>
      </c>
      <c r="K1861" s="618"/>
      <c r="L1861" s="619">
        <v>94</v>
      </c>
      <c r="M1861" s="620">
        <v>89</v>
      </c>
      <c r="N1861" s="619"/>
      <c r="O1861" s="619">
        <v>14</v>
      </c>
      <c r="P1861" s="619" t="s">
        <v>760</v>
      </c>
      <c r="Q1861" s="662" t="s">
        <v>1002</v>
      </c>
      <c r="R1861" s="618"/>
      <c r="S1861" s="621" t="s">
        <v>2680</v>
      </c>
      <c r="T1861" s="619" t="s">
        <v>1083</v>
      </c>
    </row>
    <row r="1862" spans="1:20">
      <c r="A1862" s="630">
        <v>2812234</v>
      </c>
      <c r="B1862" s="628"/>
      <c r="C1862" s="623"/>
      <c r="D1862" s="623"/>
      <c r="E1862" s="627" t="s">
        <v>2595</v>
      </c>
      <c r="F1862" s="631" t="s">
        <v>2711</v>
      </c>
      <c r="G1862" s="661">
        <v>281</v>
      </c>
      <c r="H1862" s="633">
        <v>2234</v>
      </c>
      <c r="I1862" s="618"/>
      <c r="J1862" s="619" t="s">
        <v>2595</v>
      </c>
      <c r="K1862" s="618"/>
      <c r="L1862" s="619">
        <v>95</v>
      </c>
      <c r="M1862" s="620">
        <v>90</v>
      </c>
      <c r="N1862" s="619"/>
      <c r="O1862" s="619">
        <v>14</v>
      </c>
      <c r="P1862" s="619" t="s">
        <v>760</v>
      </c>
      <c r="Q1862" s="662" t="s">
        <v>1002</v>
      </c>
      <c r="R1862" s="618"/>
      <c r="S1862" s="621" t="s">
        <v>2680</v>
      </c>
      <c r="T1862" s="619" t="s">
        <v>1085</v>
      </c>
    </row>
    <row r="1863" spans="1:20">
      <c r="A1863" s="630">
        <v>2822234</v>
      </c>
      <c r="B1863" s="628"/>
      <c r="C1863" s="623"/>
      <c r="D1863" s="623"/>
      <c r="E1863" s="627" t="s">
        <v>2597</v>
      </c>
      <c r="F1863" s="631" t="s">
        <v>2712</v>
      </c>
      <c r="G1863" s="661">
        <v>282</v>
      </c>
      <c r="H1863" s="633">
        <v>2234</v>
      </c>
      <c r="I1863" s="618"/>
      <c r="J1863" s="619" t="s">
        <v>2597</v>
      </c>
      <c r="K1863" s="618"/>
      <c r="L1863" s="619">
        <v>95</v>
      </c>
      <c r="M1863" s="620">
        <v>90</v>
      </c>
      <c r="N1863" s="619"/>
      <c r="O1863" s="619">
        <v>14</v>
      </c>
      <c r="P1863" s="619" t="s">
        <v>760</v>
      </c>
      <c r="Q1863" s="662" t="s">
        <v>1002</v>
      </c>
      <c r="R1863" s="618"/>
      <c r="S1863" s="621" t="s">
        <v>2680</v>
      </c>
      <c r="T1863" s="619" t="s">
        <v>1087</v>
      </c>
    </row>
    <row r="1864" spans="1:20">
      <c r="A1864" s="630">
        <v>2902234</v>
      </c>
      <c r="B1864" s="628"/>
      <c r="C1864" s="623"/>
      <c r="D1864" s="623"/>
      <c r="E1864" s="627" t="s">
        <v>2599</v>
      </c>
      <c r="F1864" s="631" t="s">
        <v>2713</v>
      </c>
      <c r="G1864" s="661">
        <v>290</v>
      </c>
      <c r="H1864" s="633">
        <v>2234</v>
      </c>
      <c r="I1864" s="618"/>
      <c r="J1864" s="619" t="s">
        <v>2599</v>
      </c>
      <c r="K1864" s="618"/>
      <c r="L1864" s="619">
        <v>95</v>
      </c>
      <c r="M1864" s="620">
        <v>90</v>
      </c>
      <c r="N1864" s="619"/>
      <c r="O1864" s="619">
        <v>14</v>
      </c>
      <c r="P1864" s="619" t="s">
        <v>760</v>
      </c>
      <c r="Q1864" s="662" t="s">
        <v>1002</v>
      </c>
      <c r="R1864" s="618"/>
      <c r="S1864" s="621" t="s">
        <v>2680</v>
      </c>
      <c r="T1864" s="619" t="s">
        <v>1090</v>
      </c>
    </row>
    <row r="1865" spans="1:20">
      <c r="A1865" s="622"/>
      <c r="B1865" s="628"/>
      <c r="C1865" s="623"/>
      <c r="D1865" s="623" t="s">
        <v>848</v>
      </c>
      <c r="E1865" s="627" t="s">
        <v>2714</v>
      </c>
      <c r="F1865" s="626"/>
      <c r="G1865" s="623"/>
      <c r="H1865" s="627"/>
      <c r="I1865" s="618"/>
      <c r="J1865" s="618"/>
      <c r="K1865" s="618"/>
      <c r="L1865" s="618"/>
      <c r="M1865" s="618"/>
      <c r="N1865" s="618"/>
      <c r="O1865" s="618"/>
      <c r="P1865" s="618"/>
      <c r="Q1865" s="662"/>
      <c r="R1865" s="618"/>
      <c r="S1865" s="621"/>
      <c r="T1865" s="618"/>
    </row>
    <row r="1866" spans="1:20">
      <c r="A1866" s="622"/>
      <c r="B1866" s="628"/>
      <c r="C1866" s="623"/>
      <c r="D1866" s="623"/>
      <c r="E1866" s="627" t="s">
        <v>2678</v>
      </c>
      <c r="F1866" s="626"/>
      <c r="G1866" s="623"/>
      <c r="H1866" s="627"/>
      <c r="I1866" s="618"/>
      <c r="J1866" s="618"/>
      <c r="K1866" s="618"/>
      <c r="L1866" s="618"/>
      <c r="M1866" s="618"/>
      <c r="N1866" s="618"/>
      <c r="O1866" s="618"/>
      <c r="P1866" s="618"/>
      <c r="Q1866" s="662"/>
      <c r="R1866" s="618"/>
      <c r="S1866" s="621"/>
      <c r="T1866" s="618"/>
    </row>
    <row r="1867" spans="1:20">
      <c r="A1867" s="630">
        <v>1112235</v>
      </c>
      <c r="B1867" s="628"/>
      <c r="C1867" s="623"/>
      <c r="D1867" s="623"/>
      <c r="E1867" s="627" t="s">
        <v>2214</v>
      </c>
      <c r="F1867" s="631" t="s">
        <v>2715</v>
      </c>
      <c r="G1867" s="661">
        <v>111</v>
      </c>
      <c r="H1867" s="633">
        <v>2235</v>
      </c>
      <c r="I1867" s="618"/>
      <c r="J1867" s="619" t="s">
        <v>2214</v>
      </c>
      <c r="K1867" s="618"/>
      <c r="L1867" s="619">
        <v>81</v>
      </c>
      <c r="M1867" s="620">
        <v>76</v>
      </c>
      <c r="N1867" s="619"/>
      <c r="O1867" s="619">
        <v>14</v>
      </c>
      <c r="P1867" s="619" t="s">
        <v>760</v>
      </c>
      <c r="Q1867" s="662" t="s">
        <v>1002</v>
      </c>
      <c r="R1867" s="618"/>
      <c r="S1867" s="621" t="s">
        <v>2716</v>
      </c>
      <c r="T1867" s="619" t="s">
        <v>2217</v>
      </c>
    </row>
    <row r="1868" spans="1:20">
      <c r="A1868" s="630">
        <v>1122235</v>
      </c>
      <c r="B1868" s="628"/>
      <c r="C1868" s="623"/>
      <c r="D1868" s="623"/>
      <c r="E1868" s="627" t="s">
        <v>2553</v>
      </c>
      <c r="F1868" s="631" t="s">
        <v>2717</v>
      </c>
      <c r="G1868" s="661">
        <v>112</v>
      </c>
      <c r="H1868" s="633">
        <v>2235</v>
      </c>
      <c r="I1868" s="618"/>
      <c r="J1868" s="619" t="s">
        <v>2553</v>
      </c>
      <c r="K1868" s="618"/>
      <c r="L1868" s="619">
        <v>82</v>
      </c>
      <c r="M1868" s="620">
        <v>77</v>
      </c>
      <c r="N1868" s="619"/>
      <c r="O1868" s="619">
        <v>14</v>
      </c>
      <c r="P1868" s="619" t="s">
        <v>760</v>
      </c>
      <c r="Q1868" s="662" t="s">
        <v>1002</v>
      </c>
      <c r="R1868" s="618"/>
      <c r="S1868" s="621" t="s">
        <v>2716</v>
      </c>
      <c r="T1868" s="619" t="s">
        <v>2555</v>
      </c>
    </row>
    <row r="1869" spans="1:20">
      <c r="A1869" s="630">
        <v>1132235</v>
      </c>
      <c r="B1869" s="628"/>
      <c r="C1869" s="623"/>
      <c r="D1869" s="623"/>
      <c r="E1869" s="627" t="s">
        <v>2556</v>
      </c>
      <c r="F1869" s="631" t="s">
        <v>2718</v>
      </c>
      <c r="G1869" s="661">
        <v>113</v>
      </c>
      <c r="H1869" s="633">
        <v>2235</v>
      </c>
      <c r="I1869" s="618"/>
      <c r="J1869" s="619" t="s">
        <v>2556</v>
      </c>
      <c r="K1869" s="618"/>
      <c r="L1869" s="619">
        <v>83</v>
      </c>
      <c r="M1869" s="620">
        <v>78</v>
      </c>
      <c r="N1869" s="619"/>
      <c r="O1869" s="619">
        <v>14</v>
      </c>
      <c r="P1869" s="619" t="s">
        <v>760</v>
      </c>
      <c r="Q1869" s="662" t="s">
        <v>1002</v>
      </c>
      <c r="R1869" s="618"/>
      <c r="S1869" s="621" t="s">
        <v>2716</v>
      </c>
      <c r="T1869" s="619" t="s">
        <v>2220</v>
      </c>
    </row>
    <row r="1870" spans="1:20">
      <c r="A1870" s="630">
        <v>1002235</v>
      </c>
      <c r="B1870" s="628"/>
      <c r="C1870" s="623"/>
      <c r="D1870" s="623"/>
      <c r="E1870" s="627" t="s">
        <v>2223</v>
      </c>
      <c r="F1870" s="631" t="s">
        <v>2719</v>
      </c>
      <c r="G1870" s="661">
        <v>100</v>
      </c>
      <c r="H1870" s="633">
        <v>2235</v>
      </c>
      <c r="I1870" s="618"/>
      <c r="J1870" s="619" t="s">
        <v>2223</v>
      </c>
      <c r="K1870" s="618"/>
      <c r="L1870" s="619">
        <v>86</v>
      </c>
      <c r="M1870" s="620">
        <v>81</v>
      </c>
      <c r="N1870" s="619"/>
      <c r="O1870" s="619">
        <v>14</v>
      </c>
      <c r="P1870" s="619" t="s">
        <v>760</v>
      </c>
      <c r="Q1870" s="662" t="s">
        <v>1002</v>
      </c>
      <c r="R1870" s="618"/>
      <c r="S1870" s="621" t="s">
        <v>2716</v>
      </c>
      <c r="T1870" s="619" t="s">
        <v>1946</v>
      </c>
    </row>
    <row r="1871" spans="1:20">
      <c r="A1871" s="630">
        <v>1402235</v>
      </c>
      <c r="B1871" s="628"/>
      <c r="C1871" s="623"/>
      <c r="D1871" s="623"/>
      <c r="E1871" s="627" t="s">
        <v>2225</v>
      </c>
      <c r="F1871" s="631" t="s">
        <v>2720</v>
      </c>
      <c r="G1871" s="661">
        <v>140</v>
      </c>
      <c r="H1871" s="633">
        <v>2235</v>
      </c>
      <c r="I1871" s="618"/>
      <c r="J1871" s="619" t="s">
        <v>2225</v>
      </c>
      <c r="K1871" s="618"/>
      <c r="L1871" s="619">
        <v>86</v>
      </c>
      <c r="M1871" s="620">
        <v>81</v>
      </c>
      <c r="N1871" s="619"/>
      <c r="O1871" s="619">
        <v>14</v>
      </c>
      <c r="P1871" s="619" t="s">
        <v>760</v>
      </c>
      <c r="Q1871" s="662" t="s">
        <v>1002</v>
      </c>
      <c r="R1871" s="618"/>
      <c r="S1871" s="621" t="s">
        <v>2716</v>
      </c>
      <c r="T1871" s="619" t="s">
        <v>1017</v>
      </c>
    </row>
    <row r="1872" spans="1:20">
      <c r="A1872" s="630">
        <v>1502235</v>
      </c>
      <c r="B1872" s="628"/>
      <c r="C1872" s="623"/>
      <c r="D1872" s="623"/>
      <c r="E1872" s="627" t="s">
        <v>2560</v>
      </c>
      <c r="F1872" s="631" t="s">
        <v>2721</v>
      </c>
      <c r="G1872" s="661">
        <v>150</v>
      </c>
      <c r="H1872" s="633">
        <v>2235</v>
      </c>
      <c r="I1872" s="618"/>
      <c r="J1872" s="619" t="s">
        <v>2560</v>
      </c>
      <c r="K1872" s="618"/>
      <c r="L1872" s="619">
        <v>86</v>
      </c>
      <c r="M1872" s="620">
        <v>81</v>
      </c>
      <c r="N1872" s="619"/>
      <c r="O1872" s="619">
        <v>14</v>
      </c>
      <c r="P1872" s="619" t="s">
        <v>760</v>
      </c>
      <c r="Q1872" s="662" t="s">
        <v>1002</v>
      </c>
      <c r="R1872" s="618"/>
      <c r="S1872" s="621" t="s">
        <v>2716</v>
      </c>
      <c r="T1872" s="619" t="s">
        <v>2562</v>
      </c>
    </row>
    <row r="1873" spans="1:20">
      <c r="A1873" s="630">
        <v>3002235</v>
      </c>
      <c r="B1873" s="628"/>
      <c r="C1873" s="623"/>
      <c r="D1873" s="623"/>
      <c r="E1873" s="627" t="s">
        <v>2563</v>
      </c>
      <c r="F1873" s="631" t="s">
        <v>2722</v>
      </c>
      <c r="G1873" s="661">
        <v>300</v>
      </c>
      <c r="H1873" s="633">
        <v>2235</v>
      </c>
      <c r="I1873" s="618"/>
      <c r="J1873" s="619" t="s">
        <v>2563</v>
      </c>
      <c r="K1873" s="618"/>
      <c r="L1873" s="619">
        <v>101</v>
      </c>
      <c r="M1873" s="620">
        <v>96</v>
      </c>
      <c r="N1873" s="619"/>
      <c r="O1873" s="619">
        <v>14</v>
      </c>
      <c r="P1873" s="619" t="s">
        <v>760</v>
      </c>
      <c r="Q1873" s="662"/>
      <c r="R1873" s="618"/>
      <c r="S1873" s="621" t="s">
        <v>2716</v>
      </c>
      <c r="T1873" s="619" t="s">
        <v>2565</v>
      </c>
    </row>
    <row r="1874" spans="1:20">
      <c r="A1874" s="622"/>
      <c r="B1874" s="628"/>
      <c r="C1874" s="623"/>
      <c r="D1874" s="623"/>
      <c r="E1874" s="627" t="s">
        <v>2230</v>
      </c>
      <c r="F1874" s="626"/>
      <c r="G1874" s="623"/>
      <c r="H1874" s="627"/>
      <c r="I1874" s="618"/>
      <c r="J1874" s="618"/>
      <c r="K1874" s="618"/>
      <c r="L1874" s="618"/>
      <c r="M1874" s="618"/>
      <c r="N1874" s="618"/>
      <c r="O1874" s="618"/>
      <c r="P1874" s="618"/>
      <c r="Q1874" s="662"/>
      <c r="R1874" s="618"/>
      <c r="S1874" s="621"/>
      <c r="T1874" s="618"/>
    </row>
    <row r="1875" spans="1:20">
      <c r="A1875" s="630">
        <v>4302235</v>
      </c>
      <c r="B1875" s="628"/>
      <c r="C1875" s="623"/>
      <c r="D1875" s="623"/>
      <c r="E1875" s="627" t="s">
        <v>2231</v>
      </c>
      <c r="F1875" s="631" t="s">
        <v>2723</v>
      </c>
      <c r="G1875" s="661">
        <v>430</v>
      </c>
      <c r="H1875" s="633">
        <v>2235</v>
      </c>
      <c r="I1875" s="618"/>
      <c r="J1875" s="619" t="s">
        <v>2231</v>
      </c>
      <c r="K1875" s="618"/>
      <c r="L1875" s="619">
        <v>107</v>
      </c>
      <c r="M1875" s="620">
        <v>102</v>
      </c>
      <c r="N1875" s="619"/>
      <c r="O1875" s="619">
        <v>14</v>
      </c>
      <c r="P1875" s="619" t="s">
        <v>760</v>
      </c>
      <c r="Q1875" s="662"/>
      <c r="R1875" s="618"/>
      <c r="S1875" s="621" t="s">
        <v>2716</v>
      </c>
      <c r="T1875" s="619" t="s">
        <v>1021</v>
      </c>
    </row>
    <row r="1876" spans="1:20">
      <c r="A1876" s="630">
        <v>4422235</v>
      </c>
      <c r="B1876" s="628"/>
      <c r="C1876" s="623"/>
      <c r="D1876" s="623"/>
      <c r="E1876" s="627" t="s">
        <v>2233</v>
      </c>
      <c r="F1876" s="631" t="s">
        <v>2724</v>
      </c>
      <c r="G1876" s="661">
        <v>442</v>
      </c>
      <c r="H1876" s="633">
        <v>2235</v>
      </c>
      <c r="I1876" s="618"/>
      <c r="J1876" s="619" t="s">
        <v>2233</v>
      </c>
      <c r="K1876" s="618"/>
      <c r="L1876" s="619">
        <v>106</v>
      </c>
      <c r="M1876" s="620">
        <v>101</v>
      </c>
      <c r="N1876" s="619"/>
      <c r="O1876" s="619">
        <v>14</v>
      </c>
      <c r="P1876" s="619" t="s">
        <v>760</v>
      </c>
      <c r="Q1876" s="662"/>
      <c r="R1876" s="618"/>
      <c r="S1876" s="621" t="s">
        <v>2716</v>
      </c>
      <c r="T1876" s="619" t="s">
        <v>1023</v>
      </c>
    </row>
    <row r="1877" spans="1:20">
      <c r="A1877" s="630">
        <v>4002235</v>
      </c>
      <c r="B1877" s="628"/>
      <c r="C1877" s="623"/>
      <c r="D1877" s="623"/>
      <c r="E1877" s="627" t="s">
        <v>2235</v>
      </c>
      <c r="F1877" s="631" t="s">
        <v>2725</v>
      </c>
      <c r="G1877" s="661">
        <v>400</v>
      </c>
      <c r="H1877" s="633">
        <v>2235</v>
      </c>
      <c r="I1877" s="618"/>
      <c r="J1877" s="619" t="s">
        <v>2235</v>
      </c>
      <c r="K1877" s="618"/>
      <c r="L1877" s="619">
        <v>108</v>
      </c>
      <c r="M1877" s="620">
        <v>103</v>
      </c>
      <c r="N1877" s="619"/>
      <c r="O1877" s="619">
        <v>14</v>
      </c>
      <c r="P1877" s="619" t="s">
        <v>760</v>
      </c>
      <c r="Q1877" s="662"/>
      <c r="R1877" s="618"/>
      <c r="S1877" s="621" t="s">
        <v>2716</v>
      </c>
      <c r="T1877" s="619" t="s">
        <v>2237</v>
      </c>
    </row>
    <row r="1878" spans="1:20">
      <c r="A1878" s="622"/>
      <c r="B1878" s="628"/>
      <c r="C1878" s="623"/>
      <c r="D1878" s="623"/>
      <c r="E1878" s="627" t="s">
        <v>1394</v>
      </c>
      <c r="F1878" s="626"/>
      <c r="G1878" s="623"/>
      <c r="H1878" s="627"/>
      <c r="I1878" s="618"/>
      <c r="J1878" s="618"/>
      <c r="K1878" s="618"/>
      <c r="L1878" s="618"/>
      <c r="M1878" s="618"/>
      <c r="N1878" s="618"/>
      <c r="O1878" s="618"/>
      <c r="P1878" s="618"/>
      <c r="Q1878" s="662"/>
      <c r="R1878" s="618"/>
      <c r="S1878" s="621"/>
      <c r="T1878" s="618"/>
    </row>
    <row r="1879" spans="1:20">
      <c r="A1879" s="630">
        <v>5822235</v>
      </c>
      <c r="B1879" s="628"/>
      <c r="C1879" s="623"/>
      <c r="D1879" s="623"/>
      <c r="E1879" s="627" t="s">
        <v>2238</v>
      </c>
      <c r="F1879" s="631" t="s">
        <v>2726</v>
      </c>
      <c r="G1879" s="661">
        <v>582</v>
      </c>
      <c r="H1879" s="633">
        <v>2235</v>
      </c>
      <c r="I1879" s="618"/>
      <c r="J1879" s="619" t="s">
        <v>2238</v>
      </c>
      <c r="K1879" s="618"/>
      <c r="L1879" s="619">
        <v>118</v>
      </c>
      <c r="M1879" s="620">
        <v>109</v>
      </c>
      <c r="N1879" s="619"/>
      <c r="O1879" s="619">
        <v>14</v>
      </c>
      <c r="P1879" s="619" t="s">
        <v>760</v>
      </c>
      <c r="Q1879" s="662"/>
      <c r="R1879" s="618"/>
      <c r="S1879" s="621" t="s">
        <v>2716</v>
      </c>
      <c r="T1879" s="619" t="s">
        <v>1037</v>
      </c>
    </row>
    <row r="1880" spans="1:20">
      <c r="A1880" s="630">
        <v>5002235</v>
      </c>
      <c r="B1880" s="628"/>
      <c r="C1880" s="623"/>
      <c r="D1880" s="623"/>
      <c r="E1880" s="627" t="s">
        <v>2240</v>
      </c>
      <c r="F1880" s="631" t="s">
        <v>2727</v>
      </c>
      <c r="G1880" s="661">
        <v>500</v>
      </c>
      <c r="H1880" s="633">
        <v>2235</v>
      </c>
      <c r="I1880" s="618"/>
      <c r="J1880" s="619" t="s">
        <v>2240</v>
      </c>
      <c r="K1880" s="618"/>
      <c r="L1880" s="619">
        <v>119</v>
      </c>
      <c r="M1880" s="620">
        <v>110</v>
      </c>
      <c r="N1880" s="619"/>
      <c r="O1880" s="619">
        <v>14</v>
      </c>
      <c r="P1880" s="619" t="s">
        <v>760</v>
      </c>
      <c r="Q1880" s="662"/>
      <c r="R1880" s="618"/>
      <c r="S1880" s="621" t="s">
        <v>2716</v>
      </c>
      <c r="T1880" s="619" t="s">
        <v>252</v>
      </c>
    </row>
    <row r="1881" spans="1:20">
      <c r="A1881" s="622"/>
      <c r="B1881" s="628"/>
      <c r="C1881" s="623"/>
      <c r="D1881" s="623"/>
      <c r="E1881" s="627" t="s">
        <v>2242</v>
      </c>
      <c r="F1881" s="626"/>
      <c r="G1881" s="623"/>
      <c r="H1881" s="627"/>
      <c r="I1881" s="618"/>
      <c r="J1881" s="618"/>
      <c r="K1881" s="618"/>
      <c r="L1881" s="618"/>
      <c r="M1881" s="618"/>
      <c r="N1881" s="618"/>
      <c r="O1881" s="618"/>
      <c r="P1881" s="618"/>
      <c r="Q1881" s="662"/>
      <c r="R1881" s="618"/>
      <c r="S1881" s="621"/>
      <c r="T1881" s="618"/>
    </row>
    <row r="1882" spans="1:20">
      <c r="A1882" s="630">
        <v>6152235</v>
      </c>
      <c r="B1882" s="628"/>
      <c r="C1882" s="623"/>
      <c r="D1882" s="623"/>
      <c r="E1882" s="627" t="s">
        <v>2243</v>
      </c>
      <c r="F1882" s="631" t="s">
        <v>2728</v>
      </c>
      <c r="G1882" s="661">
        <v>615</v>
      </c>
      <c r="H1882" s="633">
        <v>2235</v>
      </c>
      <c r="I1882" s="618"/>
      <c r="J1882" s="619" t="s">
        <v>2243</v>
      </c>
      <c r="K1882" s="618"/>
      <c r="L1882" s="619">
        <v>126</v>
      </c>
      <c r="M1882" s="620">
        <v>117</v>
      </c>
      <c r="N1882" s="619"/>
      <c r="O1882" s="619">
        <v>14</v>
      </c>
      <c r="P1882" s="619" t="s">
        <v>760</v>
      </c>
      <c r="Q1882" s="662" t="s">
        <v>1043</v>
      </c>
      <c r="R1882" s="618"/>
      <c r="S1882" s="621" t="s">
        <v>2716</v>
      </c>
      <c r="T1882" s="619" t="s">
        <v>1041</v>
      </c>
    </row>
    <row r="1883" spans="1:20">
      <c r="A1883" s="630">
        <v>6102235</v>
      </c>
      <c r="B1883" s="628"/>
      <c r="C1883" s="623"/>
      <c r="D1883" s="623"/>
      <c r="E1883" s="627" t="s">
        <v>2245</v>
      </c>
      <c r="F1883" s="631" t="s">
        <v>2729</v>
      </c>
      <c r="G1883" s="661">
        <v>610</v>
      </c>
      <c r="H1883" s="633">
        <v>2235</v>
      </c>
      <c r="I1883" s="618"/>
      <c r="J1883" s="619" t="s">
        <v>2245</v>
      </c>
      <c r="K1883" s="618"/>
      <c r="L1883" s="619">
        <v>122</v>
      </c>
      <c r="M1883" s="620">
        <v>113</v>
      </c>
      <c r="N1883" s="619"/>
      <c r="O1883" s="619">
        <v>14</v>
      </c>
      <c r="P1883" s="619" t="s">
        <v>760</v>
      </c>
      <c r="Q1883" s="662" t="s">
        <v>1043</v>
      </c>
      <c r="R1883" s="618"/>
      <c r="S1883" s="621" t="s">
        <v>2716</v>
      </c>
      <c r="T1883" s="619" t="s">
        <v>39</v>
      </c>
    </row>
    <row r="1884" spans="1:20">
      <c r="A1884" s="630">
        <v>6002235</v>
      </c>
      <c r="B1884" s="628"/>
      <c r="C1884" s="623"/>
      <c r="D1884" s="623"/>
      <c r="E1884" s="627" t="s">
        <v>2247</v>
      </c>
      <c r="F1884" s="631" t="s">
        <v>2730</v>
      </c>
      <c r="G1884" s="661">
        <v>600</v>
      </c>
      <c r="H1884" s="633">
        <v>2235</v>
      </c>
      <c r="I1884" s="618"/>
      <c r="J1884" s="619" t="s">
        <v>2247</v>
      </c>
      <c r="K1884" s="618"/>
      <c r="L1884" s="619">
        <v>126</v>
      </c>
      <c r="M1884" s="620">
        <v>117</v>
      </c>
      <c r="N1884" s="619"/>
      <c r="O1884" s="619">
        <v>14</v>
      </c>
      <c r="P1884" s="619" t="s">
        <v>760</v>
      </c>
      <c r="Q1884" s="662"/>
      <c r="R1884" s="618"/>
      <c r="S1884" s="621" t="s">
        <v>2716</v>
      </c>
      <c r="T1884" s="619" t="s">
        <v>1048</v>
      </c>
    </row>
    <row r="1885" spans="1:20">
      <c r="A1885" s="622"/>
      <c r="B1885" s="628"/>
      <c r="C1885" s="623"/>
      <c r="D1885" s="623"/>
      <c r="E1885" s="627" t="s">
        <v>2249</v>
      </c>
      <c r="F1885" s="626"/>
      <c r="G1885" s="623"/>
      <c r="H1885" s="627"/>
      <c r="I1885" s="618"/>
      <c r="J1885" s="618"/>
      <c r="K1885" s="618"/>
      <c r="L1885" s="618"/>
      <c r="M1885" s="618"/>
      <c r="N1885" s="618"/>
      <c r="O1885" s="618"/>
      <c r="P1885" s="618"/>
      <c r="Q1885" s="662"/>
      <c r="R1885" s="618"/>
      <c r="S1885" s="621"/>
      <c r="T1885" s="618"/>
    </row>
    <row r="1886" spans="1:20">
      <c r="A1886" s="630">
        <v>7342235</v>
      </c>
      <c r="B1886" s="628"/>
      <c r="C1886" s="623"/>
      <c r="D1886" s="623"/>
      <c r="E1886" s="627" t="s">
        <v>2250</v>
      </c>
      <c r="F1886" s="631" t="s">
        <v>2731</v>
      </c>
      <c r="G1886" s="661">
        <v>734</v>
      </c>
      <c r="H1886" s="633">
        <v>2235</v>
      </c>
      <c r="I1886" s="618"/>
      <c r="J1886" s="619" t="s">
        <v>2250</v>
      </c>
      <c r="K1886" s="618"/>
      <c r="L1886" s="619">
        <v>131</v>
      </c>
      <c r="M1886" s="620">
        <v>122</v>
      </c>
      <c r="N1886" s="619"/>
      <c r="O1886" s="619">
        <v>14</v>
      </c>
      <c r="P1886" s="619" t="s">
        <v>760</v>
      </c>
      <c r="Q1886" s="662"/>
      <c r="R1886" s="618"/>
      <c r="S1886" s="621" t="s">
        <v>2716</v>
      </c>
      <c r="T1886" s="619" t="s">
        <v>1051</v>
      </c>
    </row>
    <row r="1887" spans="1:20">
      <c r="A1887" s="630">
        <v>7352235</v>
      </c>
      <c r="B1887" s="628"/>
      <c r="C1887" s="623"/>
      <c r="D1887" s="623"/>
      <c r="E1887" s="627" t="s">
        <v>2252</v>
      </c>
      <c r="F1887" s="631" t="s">
        <v>2732</v>
      </c>
      <c r="G1887" s="661">
        <v>735</v>
      </c>
      <c r="H1887" s="633">
        <v>2235</v>
      </c>
      <c r="I1887" s="618"/>
      <c r="J1887" s="619" t="s">
        <v>2252</v>
      </c>
      <c r="K1887" s="618"/>
      <c r="L1887" s="619">
        <v>131</v>
      </c>
      <c r="M1887" s="620">
        <v>122</v>
      </c>
      <c r="N1887" s="619"/>
      <c r="O1887" s="619">
        <v>14</v>
      </c>
      <c r="P1887" s="619" t="s">
        <v>760</v>
      </c>
      <c r="Q1887" s="662"/>
      <c r="R1887" s="618"/>
      <c r="S1887" s="621" t="s">
        <v>2716</v>
      </c>
      <c r="T1887" s="619" t="s">
        <v>1053</v>
      </c>
    </row>
    <row r="1888" spans="1:20">
      <c r="A1888" s="630">
        <v>7302235</v>
      </c>
      <c r="B1888" s="628"/>
      <c r="C1888" s="623"/>
      <c r="D1888" s="623"/>
      <c r="E1888" s="627" t="s">
        <v>2254</v>
      </c>
      <c r="F1888" s="631" t="s">
        <v>2733</v>
      </c>
      <c r="G1888" s="661">
        <v>730</v>
      </c>
      <c r="H1888" s="633">
        <v>2235</v>
      </c>
      <c r="I1888" s="618"/>
      <c r="J1888" s="619" t="s">
        <v>2254</v>
      </c>
      <c r="K1888" s="618"/>
      <c r="L1888" s="619">
        <v>131</v>
      </c>
      <c r="M1888" s="620">
        <v>122</v>
      </c>
      <c r="N1888" s="619"/>
      <c r="O1888" s="619">
        <v>14</v>
      </c>
      <c r="P1888" s="619" t="s">
        <v>760</v>
      </c>
      <c r="Q1888" s="662"/>
      <c r="R1888" s="618"/>
      <c r="S1888" s="621" t="s">
        <v>2716</v>
      </c>
      <c r="T1888" s="619" t="s">
        <v>1055</v>
      </c>
    </row>
    <row r="1889" spans="1:20">
      <c r="A1889" s="630">
        <v>7002235</v>
      </c>
      <c r="B1889" s="628"/>
      <c r="C1889" s="623"/>
      <c r="D1889" s="623"/>
      <c r="E1889" s="627" t="s">
        <v>2256</v>
      </c>
      <c r="F1889" s="631" t="s">
        <v>2734</v>
      </c>
      <c r="G1889" s="661">
        <v>700</v>
      </c>
      <c r="H1889" s="633">
        <v>2235</v>
      </c>
      <c r="I1889" s="618"/>
      <c r="J1889" s="619" t="s">
        <v>2256</v>
      </c>
      <c r="K1889" s="618"/>
      <c r="L1889" s="619">
        <v>132</v>
      </c>
      <c r="M1889" s="620">
        <v>123</v>
      </c>
      <c r="N1889" s="619"/>
      <c r="O1889" s="619">
        <v>14</v>
      </c>
      <c r="P1889" s="619" t="s">
        <v>760</v>
      </c>
      <c r="Q1889" s="662"/>
      <c r="R1889" s="618"/>
      <c r="S1889" s="621" t="s">
        <v>2716</v>
      </c>
      <c r="T1889" s="619" t="s">
        <v>1057</v>
      </c>
    </row>
    <row r="1890" spans="1:20">
      <c r="A1890" s="622"/>
      <c r="B1890" s="628"/>
      <c r="C1890" s="623"/>
      <c r="D1890" s="623"/>
      <c r="E1890" s="627" t="s">
        <v>2258</v>
      </c>
      <c r="F1890" s="626"/>
      <c r="G1890" s="623"/>
      <c r="H1890" s="627"/>
      <c r="I1890" s="618"/>
      <c r="J1890" s="618"/>
      <c r="K1890" s="618"/>
      <c r="L1890" s="618"/>
      <c r="M1890" s="618"/>
      <c r="N1890" s="618"/>
      <c r="O1890" s="618"/>
      <c r="P1890" s="618"/>
      <c r="Q1890" s="662"/>
      <c r="R1890" s="618"/>
      <c r="S1890" s="621"/>
      <c r="T1890" s="618"/>
    </row>
    <row r="1891" spans="1:20">
      <c r="A1891" s="630">
        <v>8952235</v>
      </c>
      <c r="B1891" s="628"/>
      <c r="C1891" s="623"/>
      <c r="D1891" s="623"/>
      <c r="E1891" s="627" t="s">
        <v>2259</v>
      </c>
      <c r="F1891" s="631" t="s">
        <v>2735</v>
      </c>
      <c r="G1891" s="661">
        <v>895</v>
      </c>
      <c r="H1891" s="633">
        <v>2235</v>
      </c>
      <c r="I1891" s="618"/>
      <c r="J1891" s="619" t="s">
        <v>2259</v>
      </c>
      <c r="K1891" s="618"/>
      <c r="L1891" s="619">
        <v>139</v>
      </c>
      <c r="M1891" s="620">
        <v>129</v>
      </c>
      <c r="N1891" s="619"/>
      <c r="O1891" s="619">
        <v>14</v>
      </c>
      <c r="P1891" s="619" t="s">
        <v>760</v>
      </c>
      <c r="Q1891" s="662"/>
      <c r="R1891" s="618"/>
      <c r="S1891" s="621" t="s">
        <v>2716</v>
      </c>
      <c r="T1891" s="619" t="s">
        <v>2261</v>
      </c>
    </row>
    <row r="1892" spans="1:20">
      <c r="A1892" s="630">
        <v>8002235</v>
      </c>
      <c r="B1892" s="628"/>
      <c r="C1892" s="623"/>
      <c r="D1892" s="623"/>
      <c r="E1892" s="627" t="s">
        <v>2262</v>
      </c>
      <c r="F1892" s="631" t="s">
        <v>2736</v>
      </c>
      <c r="G1892" s="661">
        <v>800</v>
      </c>
      <c r="H1892" s="633">
        <v>2235</v>
      </c>
      <c r="I1892" s="618"/>
      <c r="J1892" s="619" t="s">
        <v>2262</v>
      </c>
      <c r="K1892" s="618"/>
      <c r="L1892" s="619">
        <v>139</v>
      </c>
      <c r="M1892" s="620">
        <v>129</v>
      </c>
      <c r="N1892" s="619"/>
      <c r="O1892" s="619">
        <v>14</v>
      </c>
      <c r="P1892" s="619" t="s">
        <v>760</v>
      </c>
      <c r="Q1892" s="662"/>
      <c r="R1892" s="618"/>
      <c r="S1892" s="621" t="s">
        <v>2716</v>
      </c>
      <c r="T1892" s="619" t="s">
        <v>1061</v>
      </c>
    </row>
    <row r="1893" spans="1:20">
      <c r="A1893" s="622"/>
      <c r="B1893" s="628"/>
      <c r="C1893" s="623"/>
      <c r="D1893" s="623"/>
      <c r="E1893" s="627" t="s">
        <v>2264</v>
      </c>
      <c r="F1893" s="626"/>
      <c r="G1893" s="623"/>
      <c r="H1893" s="627"/>
      <c r="I1893" s="618"/>
      <c r="J1893" s="618"/>
      <c r="K1893" s="618"/>
      <c r="L1893" s="618"/>
      <c r="M1893" s="618"/>
      <c r="N1893" s="618"/>
      <c r="O1893" s="618"/>
      <c r="P1893" s="618"/>
      <c r="Q1893" s="662"/>
      <c r="R1893" s="618"/>
      <c r="S1893" s="621"/>
      <c r="T1893" s="618"/>
    </row>
    <row r="1894" spans="1:20">
      <c r="A1894" s="630">
        <v>2102235</v>
      </c>
      <c r="B1894" s="628"/>
      <c r="C1894" s="623"/>
      <c r="D1894" s="623"/>
      <c r="E1894" s="627" t="s">
        <v>2265</v>
      </c>
      <c r="F1894" s="631" t="s">
        <v>2737</v>
      </c>
      <c r="G1894" s="661">
        <v>210</v>
      </c>
      <c r="H1894" s="633">
        <v>2235</v>
      </c>
      <c r="I1894" s="618"/>
      <c r="J1894" s="619" t="s">
        <v>2265</v>
      </c>
      <c r="K1894" s="618"/>
      <c r="L1894" s="619">
        <v>89</v>
      </c>
      <c r="M1894" s="620">
        <v>84</v>
      </c>
      <c r="N1894" s="619"/>
      <c r="O1894" s="619">
        <v>14</v>
      </c>
      <c r="P1894" s="619" t="s">
        <v>760</v>
      </c>
      <c r="Q1894" s="662" t="s">
        <v>1002</v>
      </c>
      <c r="R1894" s="618"/>
      <c r="S1894" s="621" t="s">
        <v>2716</v>
      </c>
      <c r="T1894" s="619" t="s">
        <v>1064</v>
      </c>
    </row>
    <row r="1895" spans="1:20">
      <c r="A1895" s="630">
        <v>2202235</v>
      </c>
      <c r="B1895" s="628"/>
      <c r="C1895" s="623"/>
      <c r="D1895" s="623"/>
      <c r="E1895" s="627" t="s">
        <v>2267</v>
      </c>
      <c r="F1895" s="631" t="s">
        <v>2738</v>
      </c>
      <c r="G1895" s="661">
        <v>220</v>
      </c>
      <c r="H1895" s="633">
        <v>2235</v>
      </c>
      <c r="I1895" s="618"/>
      <c r="J1895" s="619" t="s">
        <v>2267</v>
      </c>
      <c r="K1895" s="618"/>
      <c r="L1895" s="619">
        <v>90</v>
      </c>
      <c r="M1895" s="620">
        <v>85</v>
      </c>
      <c r="N1895" s="619"/>
      <c r="O1895" s="619">
        <v>14</v>
      </c>
      <c r="P1895" s="619" t="s">
        <v>760</v>
      </c>
      <c r="Q1895" s="662" t="s">
        <v>1002</v>
      </c>
      <c r="R1895" s="618"/>
      <c r="S1895" s="621" t="s">
        <v>2716</v>
      </c>
      <c r="T1895" s="619" t="s">
        <v>1066</v>
      </c>
    </row>
    <row r="1896" spans="1:20">
      <c r="A1896" s="630">
        <v>2252235</v>
      </c>
      <c r="B1896" s="628"/>
      <c r="C1896" s="623"/>
      <c r="D1896" s="623"/>
      <c r="E1896" s="627" t="s">
        <v>2269</v>
      </c>
      <c r="F1896" s="631" t="s">
        <v>2739</v>
      </c>
      <c r="G1896" s="661">
        <v>225</v>
      </c>
      <c r="H1896" s="633">
        <v>2235</v>
      </c>
      <c r="I1896" s="618"/>
      <c r="J1896" s="619" t="s">
        <v>2269</v>
      </c>
      <c r="K1896" s="618"/>
      <c r="L1896" s="619">
        <v>91</v>
      </c>
      <c r="M1896" s="620">
        <v>86</v>
      </c>
      <c r="N1896" s="619"/>
      <c r="O1896" s="619">
        <v>14</v>
      </c>
      <c r="P1896" s="619" t="s">
        <v>760</v>
      </c>
      <c r="Q1896" s="662" t="s">
        <v>1002</v>
      </c>
      <c r="R1896" s="618"/>
      <c r="S1896" s="621" t="s">
        <v>2716</v>
      </c>
      <c r="T1896" s="619" t="s">
        <v>23</v>
      </c>
    </row>
    <row r="1897" spans="1:20">
      <c r="A1897" s="622"/>
      <c r="B1897" s="628"/>
      <c r="C1897" s="623"/>
      <c r="D1897" s="623"/>
      <c r="E1897" s="627" t="s">
        <v>2271</v>
      </c>
      <c r="F1897" s="626"/>
      <c r="G1897" s="623"/>
      <c r="H1897" s="627"/>
      <c r="I1897" s="618"/>
      <c r="J1897" s="618"/>
      <c r="K1897" s="618"/>
      <c r="L1897" s="618"/>
      <c r="M1897" s="618"/>
      <c r="N1897" s="618"/>
      <c r="O1897" s="618"/>
      <c r="P1897" s="618"/>
      <c r="Q1897" s="662"/>
      <c r="R1897" s="618"/>
      <c r="S1897" s="621"/>
      <c r="T1897" s="618"/>
    </row>
    <row r="1898" spans="1:20">
      <c r="A1898" s="630">
        <v>2312235</v>
      </c>
      <c r="B1898" s="628"/>
      <c r="C1898" s="623"/>
      <c r="D1898" s="623"/>
      <c r="E1898" s="627" t="s">
        <v>2272</v>
      </c>
      <c r="F1898" s="631" t="s">
        <v>2740</v>
      </c>
      <c r="G1898" s="661">
        <v>231</v>
      </c>
      <c r="H1898" s="633">
        <v>2235</v>
      </c>
      <c r="I1898" s="618"/>
      <c r="J1898" s="619" t="s">
        <v>2272</v>
      </c>
      <c r="K1898" s="618"/>
      <c r="L1898" s="619">
        <v>92</v>
      </c>
      <c r="M1898" s="620">
        <v>87</v>
      </c>
      <c r="N1898" s="619"/>
      <c r="O1898" s="619">
        <v>14</v>
      </c>
      <c r="P1898" s="619" t="s">
        <v>760</v>
      </c>
      <c r="Q1898" s="662" t="s">
        <v>1002</v>
      </c>
      <c r="R1898" s="618"/>
      <c r="S1898" s="621" t="s">
        <v>2716</v>
      </c>
      <c r="T1898" s="619" t="s">
        <v>1072</v>
      </c>
    </row>
    <row r="1899" spans="1:20">
      <c r="A1899" s="630">
        <v>2332235</v>
      </c>
      <c r="B1899" s="628"/>
      <c r="C1899" s="623"/>
      <c r="D1899" s="623"/>
      <c r="E1899" s="627" t="s">
        <v>2274</v>
      </c>
      <c r="F1899" s="631" t="s">
        <v>2741</v>
      </c>
      <c r="G1899" s="661">
        <v>233</v>
      </c>
      <c r="H1899" s="633">
        <v>2235</v>
      </c>
      <c r="I1899" s="618"/>
      <c r="J1899" s="619" t="s">
        <v>2274</v>
      </c>
      <c r="K1899" s="618"/>
      <c r="L1899" s="619">
        <v>92</v>
      </c>
      <c r="M1899" s="620">
        <v>87</v>
      </c>
      <c r="N1899" s="619"/>
      <c r="O1899" s="619">
        <v>14</v>
      </c>
      <c r="P1899" s="619" t="s">
        <v>760</v>
      </c>
      <c r="Q1899" s="662" t="s">
        <v>1002</v>
      </c>
      <c r="R1899" s="618"/>
      <c r="S1899" s="621" t="s">
        <v>2716</v>
      </c>
      <c r="T1899" s="619" t="s">
        <v>2276</v>
      </c>
    </row>
    <row r="1900" spans="1:20">
      <c r="A1900" s="630">
        <v>2392235</v>
      </c>
      <c r="B1900" s="628"/>
      <c r="C1900" s="623"/>
      <c r="D1900" s="623"/>
      <c r="E1900" s="627" t="s">
        <v>2277</v>
      </c>
      <c r="F1900" s="631" t="s">
        <v>2742</v>
      </c>
      <c r="G1900" s="661">
        <v>239</v>
      </c>
      <c r="H1900" s="633">
        <v>2235</v>
      </c>
      <c r="I1900" s="618"/>
      <c r="J1900" s="619" t="s">
        <v>2277</v>
      </c>
      <c r="K1900" s="618"/>
      <c r="L1900" s="619">
        <v>92</v>
      </c>
      <c r="M1900" s="620">
        <v>87</v>
      </c>
      <c r="N1900" s="619"/>
      <c r="O1900" s="619">
        <v>14</v>
      </c>
      <c r="P1900" s="619" t="s">
        <v>760</v>
      </c>
      <c r="Q1900" s="662" t="s">
        <v>1002</v>
      </c>
      <c r="R1900" s="618"/>
      <c r="S1900" s="621" t="s">
        <v>2716</v>
      </c>
      <c r="T1900" s="619" t="s">
        <v>1078</v>
      </c>
    </row>
    <row r="1901" spans="1:20">
      <c r="A1901" s="630">
        <v>2402235</v>
      </c>
      <c r="B1901" s="628"/>
      <c r="C1901" s="623"/>
      <c r="D1901" s="623"/>
      <c r="E1901" s="627" t="s">
        <v>2586</v>
      </c>
      <c r="F1901" s="631" t="s">
        <v>2743</v>
      </c>
      <c r="G1901" s="661">
        <v>240</v>
      </c>
      <c r="H1901" s="633">
        <v>2235</v>
      </c>
      <c r="I1901" s="618"/>
      <c r="J1901" s="619" t="s">
        <v>2586</v>
      </c>
      <c r="K1901" s="618"/>
      <c r="L1901" s="619">
        <v>95</v>
      </c>
      <c r="M1901" s="620">
        <v>90</v>
      </c>
      <c r="N1901" s="619"/>
      <c r="O1901" s="619">
        <v>14</v>
      </c>
      <c r="P1901" s="619" t="s">
        <v>760</v>
      </c>
      <c r="Q1901" s="662" t="s">
        <v>1002</v>
      </c>
      <c r="R1901" s="618"/>
      <c r="S1901" s="621" t="s">
        <v>2716</v>
      </c>
      <c r="T1901" s="619" t="s">
        <v>2588</v>
      </c>
    </row>
    <row r="1902" spans="1:20">
      <c r="A1902" s="630">
        <v>2502235</v>
      </c>
      <c r="B1902" s="628"/>
      <c r="C1902" s="623"/>
      <c r="D1902" s="623"/>
      <c r="E1902" s="627" t="s">
        <v>2589</v>
      </c>
      <c r="F1902" s="631" t="s">
        <v>2744</v>
      </c>
      <c r="G1902" s="661">
        <v>250</v>
      </c>
      <c r="H1902" s="633">
        <v>2235</v>
      </c>
      <c r="I1902" s="618"/>
      <c r="J1902" s="619" t="s">
        <v>2589</v>
      </c>
      <c r="K1902" s="618"/>
      <c r="L1902" s="619">
        <v>93</v>
      </c>
      <c r="M1902" s="620">
        <v>88</v>
      </c>
      <c r="N1902" s="619"/>
      <c r="O1902" s="619">
        <v>14</v>
      </c>
      <c r="P1902" s="619" t="s">
        <v>760</v>
      </c>
      <c r="Q1902" s="662" t="s">
        <v>1002</v>
      </c>
      <c r="R1902" s="618"/>
      <c r="S1902" s="621" t="s">
        <v>2716</v>
      </c>
      <c r="T1902" s="619" t="s">
        <v>1079</v>
      </c>
    </row>
    <row r="1903" spans="1:20">
      <c r="A1903" s="630">
        <v>2602235</v>
      </c>
      <c r="B1903" s="628"/>
      <c r="C1903" s="623"/>
      <c r="D1903" s="623"/>
      <c r="E1903" s="627" t="s">
        <v>2591</v>
      </c>
      <c r="F1903" s="631" t="s">
        <v>2745</v>
      </c>
      <c r="G1903" s="661">
        <v>260</v>
      </c>
      <c r="H1903" s="633">
        <v>2235</v>
      </c>
      <c r="I1903" s="618"/>
      <c r="J1903" s="619" t="s">
        <v>2591</v>
      </c>
      <c r="K1903" s="618"/>
      <c r="L1903" s="619">
        <v>95</v>
      </c>
      <c r="M1903" s="620">
        <v>90</v>
      </c>
      <c r="N1903" s="619"/>
      <c r="O1903" s="619">
        <v>14</v>
      </c>
      <c r="P1903" s="619" t="s">
        <v>760</v>
      </c>
      <c r="Q1903" s="662" t="s">
        <v>1002</v>
      </c>
      <c r="R1903" s="618"/>
      <c r="S1903" s="621" t="s">
        <v>2716</v>
      </c>
      <c r="T1903" s="619" t="s">
        <v>1081</v>
      </c>
    </row>
    <row r="1904" spans="1:20">
      <c r="A1904" s="630">
        <v>2702235</v>
      </c>
      <c r="B1904" s="628"/>
      <c r="C1904" s="623"/>
      <c r="D1904" s="623"/>
      <c r="E1904" s="627" t="s">
        <v>2593</v>
      </c>
      <c r="F1904" s="631" t="s">
        <v>2746</v>
      </c>
      <c r="G1904" s="661">
        <v>270</v>
      </c>
      <c r="H1904" s="633">
        <v>2235</v>
      </c>
      <c r="I1904" s="618"/>
      <c r="J1904" s="619" t="s">
        <v>2593</v>
      </c>
      <c r="K1904" s="618"/>
      <c r="L1904" s="619">
        <v>94</v>
      </c>
      <c r="M1904" s="620">
        <v>89</v>
      </c>
      <c r="N1904" s="619"/>
      <c r="O1904" s="619">
        <v>14</v>
      </c>
      <c r="P1904" s="619" t="s">
        <v>760</v>
      </c>
      <c r="Q1904" s="662" t="s">
        <v>1002</v>
      </c>
      <c r="R1904" s="618"/>
      <c r="S1904" s="621" t="s">
        <v>2716</v>
      </c>
      <c r="T1904" s="619" t="s">
        <v>1083</v>
      </c>
    </row>
    <row r="1905" spans="1:20">
      <c r="A1905" s="630">
        <v>2812235</v>
      </c>
      <c r="B1905" s="628"/>
      <c r="C1905" s="623"/>
      <c r="D1905" s="623"/>
      <c r="E1905" s="627" t="s">
        <v>2595</v>
      </c>
      <c r="F1905" s="631" t="s">
        <v>2747</v>
      </c>
      <c r="G1905" s="661">
        <v>281</v>
      </c>
      <c r="H1905" s="633">
        <v>2235</v>
      </c>
      <c r="I1905" s="618"/>
      <c r="J1905" s="619" t="s">
        <v>2595</v>
      </c>
      <c r="K1905" s="618"/>
      <c r="L1905" s="619">
        <v>95</v>
      </c>
      <c r="M1905" s="620">
        <v>90</v>
      </c>
      <c r="N1905" s="619"/>
      <c r="O1905" s="619">
        <v>14</v>
      </c>
      <c r="P1905" s="619" t="s">
        <v>760</v>
      </c>
      <c r="Q1905" s="662" t="s">
        <v>1002</v>
      </c>
      <c r="R1905" s="618"/>
      <c r="S1905" s="621" t="s">
        <v>2716</v>
      </c>
      <c r="T1905" s="619" t="s">
        <v>1085</v>
      </c>
    </row>
    <row r="1906" spans="1:20">
      <c r="A1906" s="630">
        <v>2822235</v>
      </c>
      <c r="B1906" s="628"/>
      <c r="C1906" s="623"/>
      <c r="D1906" s="623"/>
      <c r="E1906" s="627" t="s">
        <v>2597</v>
      </c>
      <c r="F1906" s="631" t="s">
        <v>2748</v>
      </c>
      <c r="G1906" s="661">
        <v>282</v>
      </c>
      <c r="H1906" s="633">
        <v>2235</v>
      </c>
      <c r="I1906" s="618"/>
      <c r="J1906" s="619" t="s">
        <v>2597</v>
      </c>
      <c r="K1906" s="618"/>
      <c r="L1906" s="619">
        <v>95</v>
      </c>
      <c r="M1906" s="620">
        <v>90</v>
      </c>
      <c r="N1906" s="619"/>
      <c r="O1906" s="619">
        <v>14</v>
      </c>
      <c r="P1906" s="619" t="s">
        <v>760</v>
      </c>
      <c r="Q1906" s="662" t="s">
        <v>1002</v>
      </c>
      <c r="R1906" s="618"/>
      <c r="S1906" s="621" t="s">
        <v>2716</v>
      </c>
      <c r="T1906" s="619" t="s">
        <v>1087</v>
      </c>
    </row>
    <row r="1907" spans="1:20">
      <c r="A1907" s="630">
        <v>2902235</v>
      </c>
      <c r="B1907" s="628"/>
      <c r="C1907" s="623"/>
      <c r="D1907" s="623"/>
      <c r="E1907" s="627" t="s">
        <v>2599</v>
      </c>
      <c r="F1907" s="631" t="s">
        <v>2749</v>
      </c>
      <c r="G1907" s="661">
        <v>290</v>
      </c>
      <c r="H1907" s="633">
        <v>2235</v>
      </c>
      <c r="I1907" s="618"/>
      <c r="J1907" s="619" t="s">
        <v>2599</v>
      </c>
      <c r="K1907" s="618"/>
      <c r="L1907" s="619">
        <v>95</v>
      </c>
      <c r="M1907" s="620">
        <v>90</v>
      </c>
      <c r="N1907" s="619"/>
      <c r="O1907" s="619">
        <v>14</v>
      </c>
      <c r="P1907" s="619" t="s">
        <v>760</v>
      </c>
      <c r="Q1907" s="662" t="s">
        <v>1002</v>
      </c>
      <c r="R1907" s="618"/>
      <c r="S1907" s="621" t="s">
        <v>2716</v>
      </c>
      <c r="T1907" s="619" t="s">
        <v>1090</v>
      </c>
    </row>
    <row r="1908" spans="1:20">
      <c r="A1908" s="622"/>
      <c r="B1908" s="628"/>
      <c r="C1908" s="623"/>
      <c r="D1908" s="623" t="s">
        <v>851</v>
      </c>
      <c r="E1908" s="627" t="s">
        <v>2750</v>
      </c>
      <c r="F1908" s="626"/>
      <c r="G1908" s="623"/>
      <c r="H1908" s="627"/>
      <c r="I1908" s="618"/>
      <c r="J1908" s="618"/>
      <c r="K1908" s="618"/>
      <c r="L1908" s="618"/>
      <c r="M1908" s="618"/>
      <c r="N1908" s="618"/>
      <c r="O1908" s="618"/>
      <c r="P1908" s="618"/>
      <c r="Q1908" s="662"/>
      <c r="R1908" s="618"/>
      <c r="S1908" s="621"/>
      <c r="T1908" s="618"/>
    </row>
    <row r="1909" spans="1:20">
      <c r="A1909" s="622"/>
      <c r="B1909" s="628"/>
      <c r="C1909" s="623"/>
      <c r="D1909" s="623"/>
      <c r="E1909" s="627" t="s">
        <v>2678</v>
      </c>
      <c r="F1909" s="626"/>
      <c r="G1909" s="623"/>
      <c r="H1909" s="627"/>
      <c r="I1909" s="618"/>
      <c r="J1909" s="618"/>
      <c r="K1909" s="618"/>
      <c r="L1909" s="618"/>
      <c r="M1909" s="618"/>
      <c r="N1909" s="618"/>
      <c r="O1909" s="618"/>
      <c r="P1909" s="618"/>
      <c r="Q1909" s="662"/>
      <c r="R1909" s="618"/>
      <c r="S1909" s="621"/>
      <c r="T1909" s="618"/>
    </row>
    <row r="1910" spans="1:20">
      <c r="A1910" s="630">
        <v>1112236</v>
      </c>
      <c r="B1910" s="628"/>
      <c r="C1910" s="623"/>
      <c r="D1910" s="623"/>
      <c r="E1910" s="627" t="s">
        <v>2214</v>
      </c>
      <c r="F1910" s="631" t="s">
        <v>2751</v>
      </c>
      <c r="G1910" s="661">
        <v>111</v>
      </c>
      <c r="H1910" s="633">
        <v>2236</v>
      </c>
      <c r="I1910" s="618"/>
      <c r="J1910" s="619" t="s">
        <v>2214</v>
      </c>
      <c r="K1910" s="618"/>
      <c r="L1910" s="619">
        <v>81</v>
      </c>
      <c r="M1910" s="620">
        <v>76</v>
      </c>
      <c r="N1910" s="619"/>
      <c r="O1910" s="619">
        <v>14</v>
      </c>
      <c r="P1910" s="619" t="s">
        <v>760</v>
      </c>
      <c r="Q1910" s="662" t="s">
        <v>1002</v>
      </c>
      <c r="R1910" s="618"/>
      <c r="S1910" s="621" t="s">
        <v>2752</v>
      </c>
      <c r="T1910" s="619" t="s">
        <v>2217</v>
      </c>
    </row>
    <row r="1911" spans="1:20">
      <c r="A1911" s="630">
        <v>1122236</v>
      </c>
      <c r="B1911" s="628"/>
      <c r="C1911" s="623"/>
      <c r="D1911" s="623"/>
      <c r="E1911" s="627" t="s">
        <v>2553</v>
      </c>
      <c r="F1911" s="631" t="s">
        <v>2753</v>
      </c>
      <c r="G1911" s="661">
        <v>112</v>
      </c>
      <c r="H1911" s="633">
        <v>2236</v>
      </c>
      <c r="I1911" s="618"/>
      <c r="J1911" s="619" t="s">
        <v>2553</v>
      </c>
      <c r="K1911" s="618"/>
      <c r="L1911" s="619">
        <v>82</v>
      </c>
      <c r="M1911" s="620">
        <v>77</v>
      </c>
      <c r="N1911" s="619"/>
      <c r="O1911" s="619">
        <v>14</v>
      </c>
      <c r="P1911" s="619" t="s">
        <v>760</v>
      </c>
      <c r="Q1911" s="662" t="s">
        <v>1002</v>
      </c>
      <c r="R1911" s="618"/>
      <c r="S1911" s="621" t="s">
        <v>2752</v>
      </c>
      <c r="T1911" s="619" t="s">
        <v>2555</v>
      </c>
    </row>
    <row r="1912" spans="1:20">
      <c r="A1912" s="630">
        <v>1132236</v>
      </c>
      <c r="B1912" s="628"/>
      <c r="C1912" s="623"/>
      <c r="D1912" s="623"/>
      <c r="E1912" s="627" t="s">
        <v>2556</v>
      </c>
      <c r="F1912" s="631" t="s">
        <v>2754</v>
      </c>
      <c r="G1912" s="661">
        <v>113</v>
      </c>
      <c r="H1912" s="633">
        <v>2236</v>
      </c>
      <c r="I1912" s="618"/>
      <c r="J1912" s="619" t="s">
        <v>2556</v>
      </c>
      <c r="K1912" s="618"/>
      <c r="L1912" s="619">
        <v>83</v>
      </c>
      <c r="M1912" s="620">
        <v>78</v>
      </c>
      <c r="N1912" s="619"/>
      <c r="O1912" s="619">
        <v>14</v>
      </c>
      <c r="P1912" s="619" t="s">
        <v>760</v>
      </c>
      <c r="Q1912" s="662" t="s">
        <v>1002</v>
      </c>
      <c r="R1912" s="618"/>
      <c r="S1912" s="621" t="s">
        <v>2752</v>
      </c>
      <c r="T1912" s="619" t="s">
        <v>2220</v>
      </c>
    </row>
    <row r="1913" spans="1:20">
      <c r="A1913" s="630">
        <v>1002236</v>
      </c>
      <c r="B1913" s="628"/>
      <c r="C1913" s="623"/>
      <c r="D1913" s="623"/>
      <c r="E1913" s="627" t="s">
        <v>2223</v>
      </c>
      <c r="F1913" s="631" t="s">
        <v>2755</v>
      </c>
      <c r="G1913" s="661">
        <v>100</v>
      </c>
      <c r="H1913" s="633">
        <v>2236</v>
      </c>
      <c r="I1913" s="618"/>
      <c r="J1913" s="619" t="s">
        <v>2223</v>
      </c>
      <c r="K1913" s="618"/>
      <c r="L1913" s="619">
        <v>86</v>
      </c>
      <c r="M1913" s="620">
        <v>81</v>
      </c>
      <c r="N1913" s="619"/>
      <c r="O1913" s="619">
        <v>14</v>
      </c>
      <c r="P1913" s="619" t="s">
        <v>760</v>
      </c>
      <c r="Q1913" s="662" t="s">
        <v>1002</v>
      </c>
      <c r="R1913" s="618"/>
      <c r="S1913" s="621" t="s">
        <v>2752</v>
      </c>
      <c r="T1913" s="619" t="s">
        <v>1946</v>
      </c>
    </row>
    <row r="1914" spans="1:20">
      <c r="A1914" s="630">
        <v>1402236</v>
      </c>
      <c r="B1914" s="628"/>
      <c r="C1914" s="623"/>
      <c r="D1914" s="623"/>
      <c r="E1914" s="627" t="s">
        <v>2225</v>
      </c>
      <c r="F1914" s="631" t="s">
        <v>2756</v>
      </c>
      <c r="G1914" s="661">
        <v>140</v>
      </c>
      <c r="H1914" s="633">
        <v>2236</v>
      </c>
      <c r="I1914" s="618"/>
      <c r="J1914" s="619" t="s">
        <v>2225</v>
      </c>
      <c r="K1914" s="618"/>
      <c r="L1914" s="619">
        <v>86</v>
      </c>
      <c r="M1914" s="620">
        <v>81</v>
      </c>
      <c r="N1914" s="619"/>
      <c r="O1914" s="619">
        <v>14</v>
      </c>
      <c r="P1914" s="619" t="s">
        <v>760</v>
      </c>
      <c r="Q1914" s="662" t="s">
        <v>1002</v>
      </c>
      <c r="R1914" s="618"/>
      <c r="S1914" s="621" t="s">
        <v>2752</v>
      </c>
      <c r="T1914" s="619" t="s">
        <v>1017</v>
      </c>
    </row>
    <row r="1915" spans="1:20">
      <c r="A1915" s="630">
        <v>1502236</v>
      </c>
      <c r="B1915" s="628"/>
      <c r="C1915" s="623"/>
      <c r="D1915" s="623"/>
      <c r="E1915" s="627" t="s">
        <v>2560</v>
      </c>
      <c r="F1915" s="631" t="s">
        <v>2757</v>
      </c>
      <c r="G1915" s="661">
        <v>150</v>
      </c>
      <c r="H1915" s="633">
        <v>2236</v>
      </c>
      <c r="I1915" s="618"/>
      <c r="J1915" s="619" t="s">
        <v>2560</v>
      </c>
      <c r="K1915" s="618"/>
      <c r="L1915" s="619">
        <v>86</v>
      </c>
      <c r="M1915" s="620">
        <v>81</v>
      </c>
      <c r="N1915" s="619"/>
      <c r="O1915" s="619">
        <v>14</v>
      </c>
      <c r="P1915" s="619" t="s">
        <v>760</v>
      </c>
      <c r="Q1915" s="662" t="s">
        <v>1002</v>
      </c>
      <c r="R1915" s="618"/>
      <c r="S1915" s="621" t="s">
        <v>2752</v>
      </c>
      <c r="T1915" s="619" t="s">
        <v>2562</v>
      </c>
    </row>
    <row r="1916" spans="1:20">
      <c r="A1916" s="630">
        <v>3002236</v>
      </c>
      <c r="B1916" s="628"/>
      <c r="C1916" s="623"/>
      <c r="D1916" s="623"/>
      <c r="E1916" s="627" t="s">
        <v>2563</v>
      </c>
      <c r="F1916" s="631" t="s">
        <v>2758</v>
      </c>
      <c r="G1916" s="661">
        <v>300</v>
      </c>
      <c r="H1916" s="633">
        <v>2236</v>
      </c>
      <c r="I1916" s="618"/>
      <c r="J1916" s="619" t="s">
        <v>2563</v>
      </c>
      <c r="K1916" s="618"/>
      <c r="L1916" s="619">
        <v>101</v>
      </c>
      <c r="M1916" s="620">
        <v>96</v>
      </c>
      <c r="N1916" s="619"/>
      <c r="O1916" s="619">
        <v>14</v>
      </c>
      <c r="P1916" s="619" t="s">
        <v>760</v>
      </c>
      <c r="Q1916" s="662"/>
      <c r="R1916" s="618"/>
      <c r="S1916" s="621" t="s">
        <v>2752</v>
      </c>
      <c r="T1916" s="619" t="s">
        <v>2565</v>
      </c>
    </row>
    <row r="1917" spans="1:20">
      <c r="A1917" s="622"/>
      <c r="B1917" s="628"/>
      <c r="C1917" s="623"/>
      <c r="D1917" s="623"/>
      <c r="E1917" s="627" t="s">
        <v>2230</v>
      </c>
      <c r="F1917" s="626"/>
      <c r="G1917" s="623"/>
      <c r="H1917" s="627"/>
      <c r="I1917" s="618"/>
      <c r="J1917" s="618"/>
      <c r="K1917" s="618"/>
      <c r="L1917" s="618"/>
      <c r="M1917" s="618"/>
      <c r="N1917" s="618"/>
      <c r="O1917" s="618"/>
      <c r="P1917" s="618"/>
      <c r="Q1917" s="662"/>
      <c r="R1917" s="618"/>
      <c r="S1917" s="621"/>
      <c r="T1917" s="618"/>
    </row>
    <row r="1918" spans="1:20">
      <c r="A1918" s="630">
        <v>4302236</v>
      </c>
      <c r="B1918" s="628"/>
      <c r="C1918" s="623"/>
      <c r="D1918" s="623"/>
      <c r="E1918" s="627" t="s">
        <v>2231</v>
      </c>
      <c r="F1918" s="631" t="s">
        <v>2759</v>
      </c>
      <c r="G1918" s="661">
        <v>430</v>
      </c>
      <c r="H1918" s="633">
        <v>2236</v>
      </c>
      <c r="I1918" s="618"/>
      <c r="J1918" s="619" t="s">
        <v>2231</v>
      </c>
      <c r="K1918" s="618"/>
      <c r="L1918" s="619">
        <v>107</v>
      </c>
      <c r="M1918" s="620">
        <v>102</v>
      </c>
      <c r="N1918" s="619"/>
      <c r="O1918" s="619">
        <v>14</v>
      </c>
      <c r="P1918" s="619" t="s">
        <v>760</v>
      </c>
      <c r="Q1918" s="662"/>
      <c r="R1918" s="618"/>
      <c r="S1918" s="621" t="s">
        <v>2752</v>
      </c>
      <c r="T1918" s="619" t="s">
        <v>1021</v>
      </c>
    </row>
    <row r="1919" spans="1:20">
      <c r="A1919" s="630">
        <v>4422236</v>
      </c>
      <c r="B1919" s="628"/>
      <c r="C1919" s="623"/>
      <c r="D1919" s="623"/>
      <c r="E1919" s="627" t="s">
        <v>2233</v>
      </c>
      <c r="F1919" s="631" t="s">
        <v>2760</v>
      </c>
      <c r="G1919" s="661">
        <v>442</v>
      </c>
      <c r="H1919" s="633">
        <v>2236</v>
      </c>
      <c r="I1919" s="618"/>
      <c r="J1919" s="619" t="s">
        <v>2233</v>
      </c>
      <c r="K1919" s="618"/>
      <c r="L1919" s="619">
        <v>106</v>
      </c>
      <c r="M1919" s="620">
        <v>101</v>
      </c>
      <c r="N1919" s="619"/>
      <c r="O1919" s="619">
        <v>14</v>
      </c>
      <c r="P1919" s="619" t="s">
        <v>760</v>
      </c>
      <c r="Q1919" s="662"/>
      <c r="R1919" s="618"/>
      <c r="S1919" s="621" t="s">
        <v>2752</v>
      </c>
      <c r="T1919" s="619" t="s">
        <v>1023</v>
      </c>
    </row>
    <row r="1920" spans="1:20">
      <c r="A1920" s="630">
        <v>4002236</v>
      </c>
      <c r="B1920" s="628"/>
      <c r="C1920" s="623"/>
      <c r="D1920" s="623"/>
      <c r="E1920" s="627" t="s">
        <v>2235</v>
      </c>
      <c r="F1920" s="631" t="s">
        <v>2761</v>
      </c>
      <c r="G1920" s="661">
        <v>400</v>
      </c>
      <c r="H1920" s="633">
        <v>2236</v>
      </c>
      <c r="I1920" s="618"/>
      <c r="J1920" s="619" t="s">
        <v>2235</v>
      </c>
      <c r="K1920" s="618"/>
      <c r="L1920" s="619">
        <v>108</v>
      </c>
      <c r="M1920" s="620">
        <v>103</v>
      </c>
      <c r="N1920" s="619"/>
      <c r="O1920" s="619">
        <v>14</v>
      </c>
      <c r="P1920" s="619" t="s">
        <v>760</v>
      </c>
      <c r="Q1920" s="662"/>
      <c r="R1920" s="618"/>
      <c r="S1920" s="621" t="s">
        <v>2752</v>
      </c>
      <c r="T1920" s="619" t="s">
        <v>2237</v>
      </c>
    </row>
    <row r="1921" spans="1:20">
      <c r="A1921" s="622"/>
      <c r="B1921" s="628"/>
      <c r="C1921" s="623"/>
      <c r="D1921" s="623"/>
      <c r="E1921" s="627" t="s">
        <v>1394</v>
      </c>
      <c r="F1921" s="626"/>
      <c r="G1921" s="623"/>
      <c r="H1921" s="627"/>
      <c r="I1921" s="618"/>
      <c r="J1921" s="618"/>
      <c r="K1921" s="618"/>
      <c r="L1921" s="618"/>
      <c r="M1921" s="618"/>
      <c r="N1921" s="618"/>
      <c r="O1921" s="618"/>
      <c r="P1921" s="618"/>
      <c r="Q1921" s="662"/>
      <c r="R1921" s="618"/>
      <c r="S1921" s="621"/>
      <c r="T1921" s="618"/>
    </row>
    <row r="1922" spans="1:20">
      <c r="A1922" s="630">
        <v>5822236</v>
      </c>
      <c r="B1922" s="628"/>
      <c r="C1922" s="623"/>
      <c r="D1922" s="623"/>
      <c r="E1922" s="627" t="s">
        <v>2238</v>
      </c>
      <c r="F1922" s="631" t="s">
        <v>2762</v>
      </c>
      <c r="G1922" s="661">
        <v>582</v>
      </c>
      <c r="H1922" s="633">
        <v>2236</v>
      </c>
      <c r="I1922" s="618"/>
      <c r="J1922" s="619" t="s">
        <v>2238</v>
      </c>
      <c r="K1922" s="618"/>
      <c r="L1922" s="619">
        <v>118</v>
      </c>
      <c r="M1922" s="620">
        <v>109</v>
      </c>
      <c r="N1922" s="619"/>
      <c r="O1922" s="619">
        <v>14</v>
      </c>
      <c r="P1922" s="619" t="s">
        <v>760</v>
      </c>
      <c r="Q1922" s="662"/>
      <c r="R1922" s="618"/>
      <c r="S1922" s="621" t="s">
        <v>2752</v>
      </c>
      <c r="T1922" s="619" t="s">
        <v>1037</v>
      </c>
    </row>
    <row r="1923" spans="1:20">
      <c r="A1923" s="630">
        <v>5002236</v>
      </c>
      <c r="B1923" s="628"/>
      <c r="C1923" s="623"/>
      <c r="D1923" s="623"/>
      <c r="E1923" s="627" t="s">
        <v>2240</v>
      </c>
      <c r="F1923" s="631" t="s">
        <v>2763</v>
      </c>
      <c r="G1923" s="661">
        <v>500</v>
      </c>
      <c r="H1923" s="633">
        <v>2236</v>
      </c>
      <c r="I1923" s="618"/>
      <c r="J1923" s="619" t="s">
        <v>2240</v>
      </c>
      <c r="K1923" s="618"/>
      <c r="L1923" s="619">
        <v>119</v>
      </c>
      <c r="M1923" s="620">
        <v>110</v>
      </c>
      <c r="N1923" s="619"/>
      <c r="O1923" s="619">
        <v>14</v>
      </c>
      <c r="P1923" s="619" t="s">
        <v>760</v>
      </c>
      <c r="Q1923" s="662"/>
      <c r="R1923" s="618"/>
      <c r="S1923" s="621" t="s">
        <v>2752</v>
      </c>
      <c r="T1923" s="619" t="s">
        <v>252</v>
      </c>
    </row>
    <row r="1924" spans="1:20">
      <c r="A1924" s="622"/>
      <c r="B1924" s="628"/>
      <c r="C1924" s="623"/>
      <c r="D1924" s="623"/>
      <c r="E1924" s="627" t="s">
        <v>2242</v>
      </c>
      <c r="F1924" s="626"/>
      <c r="G1924" s="623"/>
      <c r="H1924" s="627"/>
      <c r="I1924" s="618"/>
      <c r="J1924" s="618"/>
      <c r="K1924" s="618"/>
      <c r="L1924" s="618"/>
      <c r="M1924" s="618"/>
      <c r="N1924" s="618"/>
      <c r="O1924" s="618"/>
      <c r="P1924" s="618"/>
      <c r="Q1924" s="662"/>
      <c r="R1924" s="618"/>
      <c r="S1924" s="621"/>
      <c r="T1924" s="618"/>
    </row>
    <row r="1925" spans="1:20">
      <c r="A1925" s="630">
        <v>6152236</v>
      </c>
      <c r="B1925" s="628"/>
      <c r="C1925" s="623"/>
      <c r="D1925" s="623"/>
      <c r="E1925" s="627" t="s">
        <v>2243</v>
      </c>
      <c r="F1925" s="631" t="s">
        <v>2764</v>
      </c>
      <c r="G1925" s="661">
        <v>615</v>
      </c>
      <c r="H1925" s="633">
        <v>2236</v>
      </c>
      <c r="I1925" s="618"/>
      <c r="J1925" s="619" t="s">
        <v>2243</v>
      </c>
      <c r="K1925" s="618"/>
      <c r="L1925" s="619">
        <v>126</v>
      </c>
      <c r="M1925" s="620">
        <v>117</v>
      </c>
      <c r="N1925" s="619"/>
      <c r="O1925" s="619">
        <v>14</v>
      </c>
      <c r="P1925" s="619" t="s">
        <v>760</v>
      </c>
      <c r="Q1925" s="662" t="s">
        <v>1043</v>
      </c>
      <c r="R1925" s="618"/>
      <c r="S1925" s="621" t="s">
        <v>2752</v>
      </c>
      <c r="T1925" s="619" t="s">
        <v>1041</v>
      </c>
    </row>
    <row r="1926" spans="1:20">
      <c r="A1926" s="630">
        <v>6102236</v>
      </c>
      <c r="B1926" s="628"/>
      <c r="C1926" s="623"/>
      <c r="D1926" s="623"/>
      <c r="E1926" s="627" t="s">
        <v>2245</v>
      </c>
      <c r="F1926" s="631" t="s">
        <v>2765</v>
      </c>
      <c r="G1926" s="661">
        <v>610</v>
      </c>
      <c r="H1926" s="633">
        <v>2236</v>
      </c>
      <c r="I1926" s="618"/>
      <c r="J1926" s="619" t="s">
        <v>2245</v>
      </c>
      <c r="K1926" s="618"/>
      <c r="L1926" s="619">
        <v>122</v>
      </c>
      <c r="M1926" s="620">
        <v>113</v>
      </c>
      <c r="N1926" s="619"/>
      <c r="O1926" s="619">
        <v>14</v>
      </c>
      <c r="P1926" s="619" t="s">
        <v>760</v>
      </c>
      <c r="Q1926" s="662" t="s">
        <v>1043</v>
      </c>
      <c r="R1926" s="618"/>
      <c r="S1926" s="621" t="s">
        <v>2752</v>
      </c>
      <c r="T1926" s="619" t="s">
        <v>39</v>
      </c>
    </row>
    <row r="1927" spans="1:20">
      <c r="A1927" s="630">
        <v>6002236</v>
      </c>
      <c r="B1927" s="628"/>
      <c r="C1927" s="623"/>
      <c r="D1927" s="623"/>
      <c r="E1927" s="627" t="s">
        <v>2247</v>
      </c>
      <c r="F1927" s="631" t="s">
        <v>2766</v>
      </c>
      <c r="G1927" s="661">
        <v>600</v>
      </c>
      <c r="H1927" s="633">
        <v>2236</v>
      </c>
      <c r="I1927" s="618"/>
      <c r="J1927" s="619" t="s">
        <v>2247</v>
      </c>
      <c r="K1927" s="618"/>
      <c r="L1927" s="619">
        <v>126</v>
      </c>
      <c r="M1927" s="620">
        <v>117</v>
      </c>
      <c r="N1927" s="619"/>
      <c r="O1927" s="619">
        <v>14</v>
      </c>
      <c r="P1927" s="619" t="s">
        <v>760</v>
      </c>
      <c r="Q1927" s="662"/>
      <c r="R1927" s="618"/>
      <c r="S1927" s="621" t="s">
        <v>2752</v>
      </c>
      <c r="T1927" s="619" t="s">
        <v>1048</v>
      </c>
    </row>
    <row r="1928" spans="1:20">
      <c r="A1928" s="622"/>
      <c r="B1928" s="628"/>
      <c r="C1928" s="623"/>
      <c r="D1928" s="623"/>
      <c r="E1928" s="627" t="s">
        <v>2249</v>
      </c>
      <c r="F1928" s="626"/>
      <c r="G1928" s="623"/>
      <c r="H1928" s="627"/>
      <c r="I1928" s="618"/>
      <c r="J1928" s="618"/>
      <c r="K1928" s="618"/>
      <c r="L1928" s="618"/>
      <c r="M1928" s="618"/>
      <c r="N1928" s="618"/>
      <c r="O1928" s="618"/>
      <c r="P1928" s="618"/>
      <c r="Q1928" s="662"/>
      <c r="R1928" s="618"/>
      <c r="S1928" s="621"/>
      <c r="T1928" s="618"/>
    </row>
    <row r="1929" spans="1:20">
      <c r="A1929" s="630">
        <v>7342236</v>
      </c>
      <c r="B1929" s="628"/>
      <c r="C1929" s="623"/>
      <c r="D1929" s="623"/>
      <c r="E1929" s="627" t="s">
        <v>2250</v>
      </c>
      <c r="F1929" s="631" t="s">
        <v>2767</v>
      </c>
      <c r="G1929" s="661">
        <v>734</v>
      </c>
      <c r="H1929" s="633">
        <v>2236</v>
      </c>
      <c r="I1929" s="618"/>
      <c r="J1929" s="619" t="s">
        <v>2250</v>
      </c>
      <c r="K1929" s="618"/>
      <c r="L1929" s="619">
        <v>131</v>
      </c>
      <c r="M1929" s="620">
        <v>122</v>
      </c>
      <c r="N1929" s="619"/>
      <c r="O1929" s="619">
        <v>14</v>
      </c>
      <c r="P1929" s="619" t="s">
        <v>760</v>
      </c>
      <c r="Q1929" s="662"/>
      <c r="R1929" s="618"/>
      <c r="S1929" s="621" t="s">
        <v>2752</v>
      </c>
      <c r="T1929" s="619" t="s">
        <v>1051</v>
      </c>
    </row>
    <row r="1930" spans="1:20">
      <c r="A1930" s="630">
        <v>7352236</v>
      </c>
      <c r="B1930" s="628"/>
      <c r="C1930" s="623"/>
      <c r="D1930" s="623"/>
      <c r="E1930" s="627" t="s">
        <v>2252</v>
      </c>
      <c r="F1930" s="631" t="s">
        <v>2768</v>
      </c>
      <c r="G1930" s="661">
        <v>735</v>
      </c>
      <c r="H1930" s="633">
        <v>2236</v>
      </c>
      <c r="I1930" s="618"/>
      <c r="J1930" s="619" t="s">
        <v>2252</v>
      </c>
      <c r="K1930" s="618"/>
      <c r="L1930" s="619">
        <v>131</v>
      </c>
      <c r="M1930" s="620">
        <v>122</v>
      </c>
      <c r="N1930" s="619"/>
      <c r="O1930" s="619">
        <v>14</v>
      </c>
      <c r="P1930" s="619" t="s">
        <v>760</v>
      </c>
      <c r="Q1930" s="662"/>
      <c r="R1930" s="618"/>
      <c r="S1930" s="621" t="s">
        <v>2752</v>
      </c>
      <c r="T1930" s="619" t="s">
        <v>1053</v>
      </c>
    </row>
    <row r="1931" spans="1:20">
      <c r="A1931" s="630">
        <v>7302236</v>
      </c>
      <c r="B1931" s="628"/>
      <c r="C1931" s="623"/>
      <c r="D1931" s="623"/>
      <c r="E1931" s="627" t="s">
        <v>2254</v>
      </c>
      <c r="F1931" s="631" t="s">
        <v>2769</v>
      </c>
      <c r="G1931" s="661">
        <v>730</v>
      </c>
      <c r="H1931" s="633">
        <v>2236</v>
      </c>
      <c r="I1931" s="618"/>
      <c r="J1931" s="619" t="s">
        <v>2254</v>
      </c>
      <c r="K1931" s="618"/>
      <c r="L1931" s="619">
        <v>131</v>
      </c>
      <c r="M1931" s="620">
        <v>122</v>
      </c>
      <c r="N1931" s="619"/>
      <c r="O1931" s="619">
        <v>14</v>
      </c>
      <c r="P1931" s="619" t="s">
        <v>760</v>
      </c>
      <c r="Q1931" s="662"/>
      <c r="R1931" s="618"/>
      <c r="S1931" s="621" t="s">
        <v>2752</v>
      </c>
      <c r="T1931" s="619" t="s">
        <v>1055</v>
      </c>
    </row>
    <row r="1932" spans="1:20">
      <c r="A1932" s="630">
        <v>7002236</v>
      </c>
      <c r="B1932" s="628"/>
      <c r="C1932" s="623"/>
      <c r="D1932" s="623"/>
      <c r="E1932" s="627" t="s">
        <v>2256</v>
      </c>
      <c r="F1932" s="631" t="s">
        <v>2770</v>
      </c>
      <c r="G1932" s="661">
        <v>700</v>
      </c>
      <c r="H1932" s="633">
        <v>2236</v>
      </c>
      <c r="I1932" s="618"/>
      <c r="J1932" s="619" t="s">
        <v>2256</v>
      </c>
      <c r="K1932" s="618"/>
      <c r="L1932" s="619">
        <v>132</v>
      </c>
      <c r="M1932" s="620">
        <v>123</v>
      </c>
      <c r="N1932" s="619"/>
      <c r="O1932" s="619">
        <v>14</v>
      </c>
      <c r="P1932" s="619" t="s">
        <v>760</v>
      </c>
      <c r="Q1932" s="662"/>
      <c r="R1932" s="618"/>
      <c r="S1932" s="621" t="s">
        <v>2752</v>
      </c>
      <c r="T1932" s="619" t="s">
        <v>1057</v>
      </c>
    </row>
    <row r="1933" spans="1:20">
      <c r="A1933" s="622"/>
      <c r="B1933" s="628"/>
      <c r="C1933" s="623"/>
      <c r="D1933" s="623"/>
      <c r="E1933" s="627" t="s">
        <v>2258</v>
      </c>
      <c r="F1933" s="626"/>
      <c r="G1933" s="623"/>
      <c r="H1933" s="627"/>
      <c r="I1933" s="618"/>
      <c r="J1933" s="618"/>
      <c r="K1933" s="618"/>
      <c r="L1933" s="618"/>
      <c r="M1933" s="618"/>
      <c r="N1933" s="618"/>
      <c r="O1933" s="618"/>
      <c r="P1933" s="618"/>
      <c r="Q1933" s="662"/>
      <c r="R1933" s="618"/>
      <c r="S1933" s="621"/>
      <c r="T1933" s="618"/>
    </row>
    <row r="1934" spans="1:20">
      <c r="A1934" s="630">
        <v>8952236</v>
      </c>
      <c r="B1934" s="628"/>
      <c r="C1934" s="623"/>
      <c r="D1934" s="623"/>
      <c r="E1934" s="627" t="s">
        <v>2259</v>
      </c>
      <c r="F1934" s="631" t="s">
        <v>2771</v>
      </c>
      <c r="G1934" s="661">
        <v>895</v>
      </c>
      <c r="H1934" s="633">
        <v>2236</v>
      </c>
      <c r="I1934" s="618"/>
      <c r="J1934" s="619" t="s">
        <v>2259</v>
      </c>
      <c r="K1934" s="618"/>
      <c r="L1934" s="619">
        <v>139</v>
      </c>
      <c r="M1934" s="620">
        <v>129</v>
      </c>
      <c r="N1934" s="619"/>
      <c r="O1934" s="619">
        <v>14</v>
      </c>
      <c r="P1934" s="619" t="s">
        <v>760</v>
      </c>
      <c r="Q1934" s="662"/>
      <c r="R1934" s="618"/>
      <c r="S1934" s="621" t="s">
        <v>2752</v>
      </c>
      <c r="T1934" s="619" t="s">
        <v>2261</v>
      </c>
    </row>
    <row r="1935" spans="1:20">
      <c r="A1935" s="630">
        <v>8002236</v>
      </c>
      <c r="B1935" s="628"/>
      <c r="C1935" s="623"/>
      <c r="D1935" s="623"/>
      <c r="E1935" s="627" t="s">
        <v>2262</v>
      </c>
      <c r="F1935" s="631" t="s">
        <v>2772</v>
      </c>
      <c r="G1935" s="661">
        <v>800</v>
      </c>
      <c r="H1935" s="633">
        <v>2236</v>
      </c>
      <c r="I1935" s="618"/>
      <c r="J1935" s="619" t="s">
        <v>2262</v>
      </c>
      <c r="K1935" s="618"/>
      <c r="L1935" s="619">
        <v>139</v>
      </c>
      <c r="M1935" s="620">
        <v>129</v>
      </c>
      <c r="N1935" s="619"/>
      <c r="O1935" s="619">
        <v>14</v>
      </c>
      <c r="P1935" s="619" t="s">
        <v>760</v>
      </c>
      <c r="Q1935" s="662"/>
      <c r="R1935" s="618"/>
      <c r="S1935" s="621" t="s">
        <v>2752</v>
      </c>
      <c r="T1935" s="619" t="s">
        <v>1061</v>
      </c>
    </row>
    <row r="1936" spans="1:20">
      <c r="A1936" s="622"/>
      <c r="B1936" s="628"/>
      <c r="C1936" s="623"/>
      <c r="D1936" s="623"/>
      <c r="E1936" s="627" t="s">
        <v>2264</v>
      </c>
      <c r="F1936" s="626"/>
      <c r="G1936" s="623"/>
      <c r="H1936" s="627"/>
      <c r="I1936" s="618"/>
      <c r="J1936" s="618"/>
      <c r="K1936" s="618"/>
      <c r="L1936" s="618"/>
      <c r="M1936" s="618"/>
      <c r="N1936" s="618"/>
      <c r="O1936" s="618"/>
      <c r="P1936" s="618"/>
      <c r="Q1936" s="662"/>
      <c r="R1936" s="618"/>
      <c r="S1936" s="621"/>
      <c r="T1936" s="618"/>
    </row>
    <row r="1937" spans="1:20">
      <c r="A1937" s="630">
        <v>2102236</v>
      </c>
      <c r="B1937" s="628"/>
      <c r="C1937" s="623"/>
      <c r="D1937" s="623"/>
      <c r="E1937" s="627" t="s">
        <v>2265</v>
      </c>
      <c r="F1937" s="631" t="s">
        <v>2773</v>
      </c>
      <c r="G1937" s="661">
        <v>210</v>
      </c>
      <c r="H1937" s="633">
        <v>2236</v>
      </c>
      <c r="I1937" s="618"/>
      <c r="J1937" s="619" t="s">
        <v>2265</v>
      </c>
      <c r="K1937" s="618"/>
      <c r="L1937" s="619">
        <v>89</v>
      </c>
      <c r="M1937" s="620">
        <v>84</v>
      </c>
      <c r="N1937" s="619"/>
      <c r="O1937" s="619">
        <v>14</v>
      </c>
      <c r="P1937" s="619" t="s">
        <v>760</v>
      </c>
      <c r="Q1937" s="662" t="s">
        <v>1002</v>
      </c>
      <c r="R1937" s="618"/>
      <c r="S1937" s="621" t="s">
        <v>2752</v>
      </c>
      <c r="T1937" s="619" t="s">
        <v>1064</v>
      </c>
    </row>
    <row r="1938" spans="1:20">
      <c r="A1938" s="630">
        <v>2202236</v>
      </c>
      <c r="B1938" s="628"/>
      <c r="C1938" s="623"/>
      <c r="D1938" s="623"/>
      <c r="E1938" s="627" t="s">
        <v>2267</v>
      </c>
      <c r="F1938" s="631" t="s">
        <v>2774</v>
      </c>
      <c r="G1938" s="661">
        <v>220</v>
      </c>
      <c r="H1938" s="633">
        <v>2236</v>
      </c>
      <c r="I1938" s="618"/>
      <c r="J1938" s="619" t="s">
        <v>2267</v>
      </c>
      <c r="K1938" s="618"/>
      <c r="L1938" s="619">
        <v>90</v>
      </c>
      <c r="M1938" s="620">
        <v>85</v>
      </c>
      <c r="N1938" s="619"/>
      <c r="O1938" s="619">
        <v>14</v>
      </c>
      <c r="P1938" s="619" t="s">
        <v>760</v>
      </c>
      <c r="Q1938" s="662" t="s">
        <v>1002</v>
      </c>
      <c r="R1938" s="618"/>
      <c r="S1938" s="621" t="s">
        <v>2752</v>
      </c>
      <c r="T1938" s="619" t="s">
        <v>1066</v>
      </c>
    </row>
    <row r="1939" spans="1:20">
      <c r="A1939" s="630">
        <v>2252236</v>
      </c>
      <c r="B1939" s="628"/>
      <c r="C1939" s="623"/>
      <c r="D1939" s="623"/>
      <c r="E1939" s="627" t="s">
        <v>2269</v>
      </c>
      <c r="F1939" s="631" t="s">
        <v>2775</v>
      </c>
      <c r="G1939" s="661">
        <v>225</v>
      </c>
      <c r="H1939" s="633">
        <v>2236</v>
      </c>
      <c r="I1939" s="618"/>
      <c r="J1939" s="619" t="s">
        <v>2269</v>
      </c>
      <c r="K1939" s="618"/>
      <c r="L1939" s="619">
        <v>91</v>
      </c>
      <c r="M1939" s="620">
        <v>86</v>
      </c>
      <c r="N1939" s="619"/>
      <c r="O1939" s="619">
        <v>14</v>
      </c>
      <c r="P1939" s="619" t="s">
        <v>760</v>
      </c>
      <c r="Q1939" s="662" t="s">
        <v>1002</v>
      </c>
      <c r="R1939" s="618"/>
      <c r="S1939" s="621" t="s">
        <v>2752</v>
      </c>
      <c r="T1939" s="619" t="s">
        <v>23</v>
      </c>
    </row>
    <row r="1940" spans="1:20">
      <c r="A1940" s="622"/>
      <c r="B1940" s="628"/>
      <c r="C1940" s="623"/>
      <c r="D1940" s="623"/>
      <c r="E1940" s="627" t="s">
        <v>2271</v>
      </c>
      <c r="F1940" s="626"/>
      <c r="G1940" s="623"/>
      <c r="H1940" s="627"/>
      <c r="I1940" s="618"/>
      <c r="J1940" s="618"/>
      <c r="K1940" s="618"/>
      <c r="L1940" s="618"/>
      <c r="M1940" s="618"/>
      <c r="N1940" s="618"/>
      <c r="O1940" s="618"/>
      <c r="P1940" s="618"/>
      <c r="Q1940" s="662"/>
      <c r="R1940" s="618"/>
      <c r="S1940" s="621"/>
      <c r="T1940" s="618"/>
    </row>
    <row r="1941" spans="1:20">
      <c r="A1941" s="630">
        <v>2312236</v>
      </c>
      <c r="B1941" s="628"/>
      <c r="C1941" s="623"/>
      <c r="D1941" s="623"/>
      <c r="E1941" s="627" t="s">
        <v>2272</v>
      </c>
      <c r="F1941" s="631" t="s">
        <v>2776</v>
      </c>
      <c r="G1941" s="661">
        <v>231</v>
      </c>
      <c r="H1941" s="633">
        <v>2236</v>
      </c>
      <c r="I1941" s="618"/>
      <c r="J1941" s="619" t="s">
        <v>2272</v>
      </c>
      <c r="K1941" s="618"/>
      <c r="L1941" s="619">
        <v>92</v>
      </c>
      <c r="M1941" s="620">
        <v>87</v>
      </c>
      <c r="N1941" s="619"/>
      <c r="O1941" s="619">
        <v>14</v>
      </c>
      <c r="P1941" s="619" t="s">
        <v>760</v>
      </c>
      <c r="Q1941" s="662" t="s">
        <v>1002</v>
      </c>
      <c r="R1941" s="618"/>
      <c r="S1941" s="621" t="s">
        <v>2752</v>
      </c>
      <c r="T1941" s="619" t="s">
        <v>1072</v>
      </c>
    </row>
    <row r="1942" spans="1:20">
      <c r="A1942" s="630">
        <v>2332236</v>
      </c>
      <c r="B1942" s="628"/>
      <c r="C1942" s="623"/>
      <c r="D1942" s="623"/>
      <c r="E1942" s="627" t="s">
        <v>2274</v>
      </c>
      <c r="F1942" s="631" t="s">
        <v>2777</v>
      </c>
      <c r="G1942" s="661">
        <v>233</v>
      </c>
      <c r="H1942" s="633">
        <v>2236</v>
      </c>
      <c r="I1942" s="618"/>
      <c r="J1942" s="619" t="s">
        <v>2274</v>
      </c>
      <c r="K1942" s="618"/>
      <c r="L1942" s="619">
        <v>92</v>
      </c>
      <c r="M1942" s="620">
        <v>87</v>
      </c>
      <c r="N1942" s="619"/>
      <c r="O1942" s="619">
        <v>14</v>
      </c>
      <c r="P1942" s="619" t="s">
        <v>760</v>
      </c>
      <c r="Q1942" s="662" t="s">
        <v>1002</v>
      </c>
      <c r="R1942" s="618"/>
      <c r="S1942" s="621" t="s">
        <v>2752</v>
      </c>
      <c r="T1942" s="619" t="s">
        <v>2276</v>
      </c>
    </row>
    <row r="1943" spans="1:20">
      <c r="A1943" s="630">
        <v>2392236</v>
      </c>
      <c r="B1943" s="628"/>
      <c r="C1943" s="623"/>
      <c r="D1943" s="623"/>
      <c r="E1943" s="627" t="s">
        <v>2277</v>
      </c>
      <c r="F1943" s="631" t="s">
        <v>2778</v>
      </c>
      <c r="G1943" s="661">
        <v>239</v>
      </c>
      <c r="H1943" s="633">
        <v>2236</v>
      </c>
      <c r="I1943" s="618"/>
      <c r="J1943" s="619" t="s">
        <v>2277</v>
      </c>
      <c r="K1943" s="618"/>
      <c r="L1943" s="619">
        <v>92</v>
      </c>
      <c r="M1943" s="620">
        <v>87</v>
      </c>
      <c r="N1943" s="619"/>
      <c r="O1943" s="619">
        <v>14</v>
      </c>
      <c r="P1943" s="619" t="s">
        <v>760</v>
      </c>
      <c r="Q1943" s="662" t="s">
        <v>1002</v>
      </c>
      <c r="R1943" s="618"/>
      <c r="S1943" s="621" t="s">
        <v>2752</v>
      </c>
      <c r="T1943" s="619" t="s">
        <v>1078</v>
      </c>
    </row>
    <row r="1944" spans="1:20">
      <c r="A1944" s="630">
        <v>2402236</v>
      </c>
      <c r="B1944" s="628"/>
      <c r="C1944" s="623"/>
      <c r="D1944" s="623"/>
      <c r="E1944" s="627" t="s">
        <v>2586</v>
      </c>
      <c r="F1944" s="631" t="s">
        <v>2779</v>
      </c>
      <c r="G1944" s="661">
        <v>240</v>
      </c>
      <c r="H1944" s="633">
        <v>2236</v>
      </c>
      <c r="I1944" s="618"/>
      <c r="J1944" s="619" t="s">
        <v>2586</v>
      </c>
      <c r="K1944" s="618"/>
      <c r="L1944" s="619">
        <v>95</v>
      </c>
      <c r="M1944" s="620">
        <v>90</v>
      </c>
      <c r="N1944" s="619"/>
      <c r="O1944" s="619">
        <v>14</v>
      </c>
      <c r="P1944" s="619" t="s">
        <v>760</v>
      </c>
      <c r="Q1944" s="662" t="s">
        <v>1002</v>
      </c>
      <c r="R1944" s="618"/>
      <c r="S1944" s="621" t="s">
        <v>2752</v>
      </c>
      <c r="T1944" s="619" t="s">
        <v>2588</v>
      </c>
    </row>
    <row r="1945" spans="1:20">
      <c r="A1945" s="630">
        <v>2502236</v>
      </c>
      <c r="B1945" s="628"/>
      <c r="C1945" s="623"/>
      <c r="D1945" s="623"/>
      <c r="E1945" s="627" t="s">
        <v>2589</v>
      </c>
      <c r="F1945" s="631" t="s">
        <v>2780</v>
      </c>
      <c r="G1945" s="661">
        <v>250</v>
      </c>
      <c r="H1945" s="633">
        <v>2236</v>
      </c>
      <c r="I1945" s="618"/>
      <c r="J1945" s="619" t="s">
        <v>2589</v>
      </c>
      <c r="K1945" s="618"/>
      <c r="L1945" s="619">
        <v>93</v>
      </c>
      <c r="M1945" s="620">
        <v>88</v>
      </c>
      <c r="N1945" s="619"/>
      <c r="O1945" s="619">
        <v>14</v>
      </c>
      <c r="P1945" s="619" t="s">
        <v>760</v>
      </c>
      <c r="Q1945" s="662" t="s">
        <v>1002</v>
      </c>
      <c r="R1945" s="618"/>
      <c r="S1945" s="621" t="s">
        <v>2752</v>
      </c>
      <c r="T1945" s="619" t="s">
        <v>1079</v>
      </c>
    </row>
    <row r="1946" spans="1:20">
      <c r="A1946" s="630">
        <v>2602236</v>
      </c>
      <c r="B1946" s="628"/>
      <c r="C1946" s="623"/>
      <c r="D1946" s="623"/>
      <c r="E1946" s="627" t="s">
        <v>2591</v>
      </c>
      <c r="F1946" s="631" t="s">
        <v>2781</v>
      </c>
      <c r="G1946" s="661">
        <v>260</v>
      </c>
      <c r="H1946" s="633">
        <v>2236</v>
      </c>
      <c r="I1946" s="618"/>
      <c r="J1946" s="619" t="s">
        <v>2591</v>
      </c>
      <c r="K1946" s="618"/>
      <c r="L1946" s="619">
        <v>95</v>
      </c>
      <c r="M1946" s="620">
        <v>90</v>
      </c>
      <c r="N1946" s="619"/>
      <c r="O1946" s="619">
        <v>14</v>
      </c>
      <c r="P1946" s="619" t="s">
        <v>760</v>
      </c>
      <c r="Q1946" s="662" t="s">
        <v>1002</v>
      </c>
      <c r="R1946" s="618"/>
      <c r="S1946" s="621" t="s">
        <v>2752</v>
      </c>
      <c r="T1946" s="619" t="s">
        <v>1081</v>
      </c>
    </row>
    <row r="1947" spans="1:20">
      <c r="A1947" s="630">
        <v>2702236</v>
      </c>
      <c r="B1947" s="628"/>
      <c r="C1947" s="623"/>
      <c r="D1947" s="623"/>
      <c r="E1947" s="627" t="s">
        <v>2593</v>
      </c>
      <c r="F1947" s="631" t="s">
        <v>2782</v>
      </c>
      <c r="G1947" s="661">
        <v>270</v>
      </c>
      <c r="H1947" s="633">
        <v>2236</v>
      </c>
      <c r="I1947" s="618"/>
      <c r="J1947" s="619" t="s">
        <v>2593</v>
      </c>
      <c r="K1947" s="618"/>
      <c r="L1947" s="619">
        <v>94</v>
      </c>
      <c r="M1947" s="620">
        <v>89</v>
      </c>
      <c r="N1947" s="619"/>
      <c r="O1947" s="619">
        <v>14</v>
      </c>
      <c r="P1947" s="619" t="s">
        <v>760</v>
      </c>
      <c r="Q1947" s="662" t="s">
        <v>1002</v>
      </c>
      <c r="R1947" s="618"/>
      <c r="S1947" s="621" t="s">
        <v>2752</v>
      </c>
      <c r="T1947" s="619" t="s">
        <v>1083</v>
      </c>
    </row>
    <row r="1948" spans="1:20">
      <c r="A1948" s="630">
        <v>2812236</v>
      </c>
      <c r="B1948" s="628"/>
      <c r="C1948" s="623"/>
      <c r="D1948" s="623"/>
      <c r="E1948" s="627" t="s">
        <v>2595</v>
      </c>
      <c r="F1948" s="631" t="s">
        <v>2783</v>
      </c>
      <c r="G1948" s="661">
        <v>281</v>
      </c>
      <c r="H1948" s="633">
        <v>2236</v>
      </c>
      <c r="I1948" s="618"/>
      <c r="J1948" s="619" t="s">
        <v>2595</v>
      </c>
      <c r="K1948" s="618"/>
      <c r="L1948" s="619">
        <v>95</v>
      </c>
      <c r="M1948" s="620">
        <v>90</v>
      </c>
      <c r="N1948" s="619"/>
      <c r="O1948" s="619">
        <v>14</v>
      </c>
      <c r="P1948" s="619" t="s">
        <v>760</v>
      </c>
      <c r="Q1948" s="662" t="s">
        <v>1002</v>
      </c>
      <c r="R1948" s="618"/>
      <c r="S1948" s="621" t="s">
        <v>2752</v>
      </c>
      <c r="T1948" s="619" t="s">
        <v>1085</v>
      </c>
    </row>
    <row r="1949" spans="1:20">
      <c r="A1949" s="630">
        <v>2822236</v>
      </c>
      <c r="B1949" s="628"/>
      <c r="C1949" s="623"/>
      <c r="D1949" s="623"/>
      <c r="E1949" s="627" t="s">
        <v>2597</v>
      </c>
      <c r="F1949" s="631" t="s">
        <v>2784</v>
      </c>
      <c r="G1949" s="661">
        <v>282</v>
      </c>
      <c r="H1949" s="633">
        <v>2236</v>
      </c>
      <c r="I1949" s="618"/>
      <c r="J1949" s="619" t="s">
        <v>2597</v>
      </c>
      <c r="K1949" s="618"/>
      <c r="L1949" s="619">
        <v>95</v>
      </c>
      <c r="M1949" s="620">
        <v>90</v>
      </c>
      <c r="N1949" s="619"/>
      <c r="O1949" s="619">
        <v>14</v>
      </c>
      <c r="P1949" s="619" t="s">
        <v>760</v>
      </c>
      <c r="Q1949" s="662" t="s">
        <v>1002</v>
      </c>
      <c r="R1949" s="618"/>
      <c r="S1949" s="621" t="s">
        <v>2752</v>
      </c>
      <c r="T1949" s="619" t="s">
        <v>1087</v>
      </c>
    </row>
    <row r="1950" spans="1:20">
      <c r="A1950" s="630">
        <v>2902236</v>
      </c>
      <c r="B1950" s="628"/>
      <c r="C1950" s="623"/>
      <c r="D1950" s="623"/>
      <c r="E1950" s="627" t="s">
        <v>2599</v>
      </c>
      <c r="F1950" s="631" t="s">
        <v>2785</v>
      </c>
      <c r="G1950" s="661">
        <v>290</v>
      </c>
      <c r="H1950" s="633">
        <v>2236</v>
      </c>
      <c r="I1950" s="618"/>
      <c r="J1950" s="619" t="s">
        <v>2599</v>
      </c>
      <c r="K1950" s="618"/>
      <c r="L1950" s="619">
        <v>95</v>
      </c>
      <c r="M1950" s="620">
        <v>90</v>
      </c>
      <c r="N1950" s="619"/>
      <c r="O1950" s="619">
        <v>14</v>
      </c>
      <c r="P1950" s="619" t="s">
        <v>760</v>
      </c>
      <c r="Q1950" s="662" t="s">
        <v>1002</v>
      </c>
      <c r="R1950" s="618"/>
      <c r="S1950" s="621" t="s">
        <v>2752</v>
      </c>
      <c r="T1950" s="619" t="s">
        <v>1090</v>
      </c>
    </row>
    <row r="1951" spans="1:20">
      <c r="A1951" s="622"/>
      <c r="B1951" s="628"/>
      <c r="C1951" s="623"/>
      <c r="D1951" s="623" t="s">
        <v>854</v>
      </c>
      <c r="E1951" s="626" t="s">
        <v>2786</v>
      </c>
      <c r="F1951" s="626"/>
      <c r="G1951" s="623"/>
      <c r="H1951" s="627"/>
      <c r="I1951" s="618"/>
      <c r="J1951" s="618"/>
      <c r="K1951" s="618"/>
      <c r="L1951" s="618"/>
      <c r="M1951" s="618"/>
      <c r="N1951" s="618"/>
      <c r="O1951" s="618"/>
      <c r="P1951" s="618"/>
      <c r="Q1951" s="662"/>
      <c r="R1951" s="618"/>
      <c r="S1951" s="621"/>
      <c r="T1951" s="618"/>
    </row>
    <row r="1952" spans="1:20">
      <c r="A1952" s="622"/>
      <c r="B1952" s="628"/>
      <c r="C1952" s="623"/>
      <c r="D1952" s="623"/>
      <c r="E1952" s="627" t="s">
        <v>2678</v>
      </c>
      <c r="F1952" s="626"/>
      <c r="G1952" s="623"/>
      <c r="H1952" s="627"/>
      <c r="I1952" s="618"/>
      <c r="J1952" s="618"/>
      <c r="K1952" s="618"/>
      <c r="L1952" s="618"/>
      <c r="M1952" s="618"/>
      <c r="N1952" s="618"/>
      <c r="O1952" s="618"/>
      <c r="P1952" s="618"/>
      <c r="Q1952" s="662"/>
      <c r="R1952" s="618"/>
      <c r="S1952" s="621"/>
      <c r="T1952" s="618"/>
    </row>
    <row r="1953" spans="1:20">
      <c r="A1953" s="630">
        <v>1112239</v>
      </c>
      <c r="B1953" s="628"/>
      <c r="C1953" s="623"/>
      <c r="D1953" s="623"/>
      <c r="E1953" s="627" t="s">
        <v>2214</v>
      </c>
      <c r="F1953" s="631" t="s">
        <v>2787</v>
      </c>
      <c r="G1953" s="661">
        <v>111</v>
      </c>
      <c r="H1953" s="633">
        <v>2239</v>
      </c>
      <c r="I1953" s="618"/>
      <c r="J1953" s="619" t="s">
        <v>2214</v>
      </c>
      <c r="K1953" s="618"/>
      <c r="L1953" s="619">
        <v>81</v>
      </c>
      <c r="M1953" s="620">
        <v>76</v>
      </c>
      <c r="N1953" s="619"/>
      <c r="O1953" s="619">
        <v>14</v>
      </c>
      <c r="P1953" s="619" t="s">
        <v>760</v>
      </c>
      <c r="Q1953" s="662" t="s">
        <v>1002</v>
      </c>
      <c r="R1953" s="618"/>
      <c r="S1953" s="621" t="s">
        <v>2788</v>
      </c>
      <c r="T1953" s="619" t="s">
        <v>2217</v>
      </c>
    </row>
    <row r="1954" spans="1:20">
      <c r="A1954" s="630">
        <v>1122239</v>
      </c>
      <c r="B1954" s="628"/>
      <c r="C1954" s="623"/>
      <c r="D1954" s="623"/>
      <c r="E1954" s="627" t="s">
        <v>2553</v>
      </c>
      <c r="F1954" s="631" t="s">
        <v>2789</v>
      </c>
      <c r="G1954" s="661">
        <v>112</v>
      </c>
      <c r="H1954" s="633">
        <v>2239</v>
      </c>
      <c r="I1954" s="618"/>
      <c r="J1954" s="619" t="s">
        <v>2553</v>
      </c>
      <c r="K1954" s="618"/>
      <c r="L1954" s="619">
        <v>82</v>
      </c>
      <c r="M1954" s="620">
        <v>77</v>
      </c>
      <c r="N1954" s="619"/>
      <c r="O1954" s="619">
        <v>14</v>
      </c>
      <c r="P1954" s="619" t="s">
        <v>760</v>
      </c>
      <c r="Q1954" s="662" t="s">
        <v>1002</v>
      </c>
      <c r="R1954" s="618"/>
      <c r="S1954" s="621" t="s">
        <v>2788</v>
      </c>
      <c r="T1954" s="619" t="s">
        <v>2555</v>
      </c>
    </row>
    <row r="1955" spans="1:20">
      <c r="A1955" s="630">
        <v>1132239</v>
      </c>
      <c r="B1955" s="628"/>
      <c r="C1955" s="623"/>
      <c r="D1955" s="623"/>
      <c r="E1955" s="627" t="s">
        <v>2556</v>
      </c>
      <c r="F1955" s="631" t="s">
        <v>2790</v>
      </c>
      <c r="G1955" s="661">
        <v>113</v>
      </c>
      <c r="H1955" s="633">
        <v>2239</v>
      </c>
      <c r="I1955" s="618"/>
      <c r="J1955" s="619" t="s">
        <v>2556</v>
      </c>
      <c r="K1955" s="618"/>
      <c r="L1955" s="619">
        <v>83</v>
      </c>
      <c r="M1955" s="620">
        <v>78</v>
      </c>
      <c r="N1955" s="619"/>
      <c r="O1955" s="619">
        <v>14</v>
      </c>
      <c r="P1955" s="619" t="s">
        <v>760</v>
      </c>
      <c r="Q1955" s="662" t="s">
        <v>1002</v>
      </c>
      <c r="R1955" s="618"/>
      <c r="S1955" s="621" t="s">
        <v>2788</v>
      </c>
      <c r="T1955" s="619" t="s">
        <v>2220</v>
      </c>
    </row>
    <row r="1956" spans="1:20">
      <c r="A1956" s="630">
        <v>1002239</v>
      </c>
      <c r="B1956" s="628"/>
      <c r="C1956" s="623"/>
      <c r="D1956" s="623"/>
      <c r="E1956" s="627" t="s">
        <v>2223</v>
      </c>
      <c r="F1956" s="631" t="s">
        <v>2791</v>
      </c>
      <c r="G1956" s="661">
        <v>100</v>
      </c>
      <c r="H1956" s="633">
        <v>2239</v>
      </c>
      <c r="I1956" s="618"/>
      <c r="J1956" s="619" t="s">
        <v>2223</v>
      </c>
      <c r="K1956" s="618"/>
      <c r="L1956" s="619">
        <v>86</v>
      </c>
      <c r="M1956" s="620">
        <v>81</v>
      </c>
      <c r="N1956" s="619"/>
      <c r="O1956" s="619">
        <v>14</v>
      </c>
      <c r="P1956" s="619" t="s">
        <v>760</v>
      </c>
      <c r="Q1956" s="662" t="s">
        <v>1002</v>
      </c>
      <c r="R1956" s="618"/>
      <c r="S1956" s="621" t="s">
        <v>2788</v>
      </c>
      <c r="T1956" s="619" t="s">
        <v>1946</v>
      </c>
    </row>
    <row r="1957" spans="1:20">
      <c r="A1957" s="630">
        <v>1402239</v>
      </c>
      <c r="B1957" s="628"/>
      <c r="C1957" s="623"/>
      <c r="D1957" s="623"/>
      <c r="E1957" s="627" t="s">
        <v>2225</v>
      </c>
      <c r="F1957" s="631" t="s">
        <v>2792</v>
      </c>
      <c r="G1957" s="661">
        <v>140</v>
      </c>
      <c r="H1957" s="633">
        <v>2239</v>
      </c>
      <c r="I1957" s="618"/>
      <c r="J1957" s="619" t="s">
        <v>2225</v>
      </c>
      <c r="K1957" s="618"/>
      <c r="L1957" s="619">
        <v>86</v>
      </c>
      <c r="M1957" s="620">
        <v>81</v>
      </c>
      <c r="N1957" s="619"/>
      <c r="O1957" s="619">
        <v>14</v>
      </c>
      <c r="P1957" s="619" t="s">
        <v>760</v>
      </c>
      <c r="Q1957" s="662" t="s">
        <v>1002</v>
      </c>
      <c r="R1957" s="618"/>
      <c r="S1957" s="621" t="s">
        <v>2788</v>
      </c>
      <c r="T1957" s="619" t="s">
        <v>1017</v>
      </c>
    </row>
    <row r="1958" spans="1:20">
      <c r="A1958" s="630">
        <v>1502239</v>
      </c>
      <c r="B1958" s="628"/>
      <c r="C1958" s="623"/>
      <c r="D1958" s="623"/>
      <c r="E1958" s="627" t="s">
        <v>2560</v>
      </c>
      <c r="F1958" s="631" t="s">
        <v>2793</v>
      </c>
      <c r="G1958" s="661">
        <v>150</v>
      </c>
      <c r="H1958" s="633">
        <v>2239</v>
      </c>
      <c r="I1958" s="618"/>
      <c r="J1958" s="619" t="s">
        <v>2560</v>
      </c>
      <c r="K1958" s="618"/>
      <c r="L1958" s="619">
        <v>86</v>
      </c>
      <c r="M1958" s="620">
        <v>81</v>
      </c>
      <c r="N1958" s="619"/>
      <c r="O1958" s="619">
        <v>14</v>
      </c>
      <c r="P1958" s="619" t="s">
        <v>760</v>
      </c>
      <c r="Q1958" s="662" t="s">
        <v>1002</v>
      </c>
      <c r="R1958" s="618"/>
      <c r="S1958" s="621" t="s">
        <v>2788</v>
      </c>
      <c r="T1958" s="619" t="s">
        <v>2562</v>
      </c>
    </row>
    <row r="1959" spans="1:20">
      <c r="A1959" s="630">
        <v>3002239</v>
      </c>
      <c r="B1959" s="628"/>
      <c r="C1959" s="623"/>
      <c r="D1959" s="623"/>
      <c r="E1959" s="627" t="s">
        <v>2563</v>
      </c>
      <c r="F1959" s="631" t="s">
        <v>2794</v>
      </c>
      <c r="G1959" s="661">
        <v>300</v>
      </c>
      <c r="H1959" s="633">
        <v>2239</v>
      </c>
      <c r="I1959" s="618"/>
      <c r="J1959" s="619" t="s">
        <v>2563</v>
      </c>
      <c r="K1959" s="618"/>
      <c r="L1959" s="619">
        <v>101</v>
      </c>
      <c r="M1959" s="620">
        <v>96</v>
      </c>
      <c r="N1959" s="619"/>
      <c r="O1959" s="619">
        <v>14</v>
      </c>
      <c r="P1959" s="619" t="s">
        <v>760</v>
      </c>
      <c r="Q1959" s="662"/>
      <c r="R1959" s="618"/>
      <c r="S1959" s="621" t="s">
        <v>2788</v>
      </c>
      <c r="T1959" s="619" t="s">
        <v>2565</v>
      </c>
    </row>
    <row r="1960" spans="1:20">
      <c r="A1960" s="622"/>
      <c r="B1960" s="628"/>
      <c r="C1960" s="623"/>
      <c r="D1960" s="623"/>
      <c r="E1960" s="627" t="s">
        <v>2230</v>
      </c>
      <c r="F1960" s="626"/>
      <c r="G1960" s="623"/>
      <c r="H1960" s="627"/>
      <c r="I1960" s="618"/>
      <c r="J1960" s="618"/>
      <c r="K1960" s="618"/>
      <c r="L1960" s="618"/>
      <c r="M1960" s="618"/>
      <c r="N1960" s="618"/>
      <c r="O1960" s="618"/>
      <c r="P1960" s="618"/>
      <c r="Q1960" s="662"/>
      <c r="R1960" s="618"/>
      <c r="S1960" s="621"/>
      <c r="T1960" s="618"/>
    </row>
    <row r="1961" spans="1:20">
      <c r="A1961" s="630">
        <v>4302239</v>
      </c>
      <c r="B1961" s="628"/>
      <c r="C1961" s="623"/>
      <c r="D1961" s="623"/>
      <c r="E1961" s="627" t="s">
        <v>2231</v>
      </c>
      <c r="F1961" s="631" t="s">
        <v>2795</v>
      </c>
      <c r="G1961" s="661">
        <v>430</v>
      </c>
      <c r="H1961" s="633">
        <v>2239</v>
      </c>
      <c r="I1961" s="618"/>
      <c r="J1961" s="619" t="s">
        <v>2231</v>
      </c>
      <c r="K1961" s="618"/>
      <c r="L1961" s="619">
        <v>107</v>
      </c>
      <c r="M1961" s="620">
        <v>102</v>
      </c>
      <c r="N1961" s="619"/>
      <c r="O1961" s="619">
        <v>14</v>
      </c>
      <c r="P1961" s="619" t="s">
        <v>760</v>
      </c>
      <c r="Q1961" s="662"/>
      <c r="R1961" s="618"/>
      <c r="S1961" s="621" t="s">
        <v>2788</v>
      </c>
      <c r="T1961" s="619" t="s">
        <v>1021</v>
      </c>
    </row>
    <row r="1962" spans="1:20">
      <c r="A1962" s="630">
        <v>4422239</v>
      </c>
      <c r="B1962" s="628"/>
      <c r="C1962" s="623"/>
      <c r="D1962" s="623"/>
      <c r="E1962" s="627" t="s">
        <v>2233</v>
      </c>
      <c r="F1962" s="631" t="s">
        <v>2796</v>
      </c>
      <c r="G1962" s="661">
        <v>442</v>
      </c>
      <c r="H1962" s="633">
        <v>2239</v>
      </c>
      <c r="I1962" s="618"/>
      <c r="J1962" s="619" t="s">
        <v>2233</v>
      </c>
      <c r="K1962" s="618"/>
      <c r="L1962" s="619">
        <v>106</v>
      </c>
      <c r="M1962" s="620">
        <v>101</v>
      </c>
      <c r="N1962" s="619"/>
      <c r="O1962" s="619">
        <v>14</v>
      </c>
      <c r="P1962" s="619" t="s">
        <v>760</v>
      </c>
      <c r="Q1962" s="662"/>
      <c r="R1962" s="618"/>
      <c r="S1962" s="621" t="s">
        <v>2788</v>
      </c>
      <c r="T1962" s="619" t="s">
        <v>1023</v>
      </c>
    </row>
    <row r="1963" spans="1:20">
      <c r="A1963" s="630">
        <v>4002239</v>
      </c>
      <c r="B1963" s="628"/>
      <c r="C1963" s="623"/>
      <c r="D1963" s="623"/>
      <c r="E1963" s="627" t="s">
        <v>2235</v>
      </c>
      <c r="F1963" s="631" t="s">
        <v>2797</v>
      </c>
      <c r="G1963" s="661">
        <v>400</v>
      </c>
      <c r="H1963" s="633">
        <v>2239</v>
      </c>
      <c r="I1963" s="618"/>
      <c r="J1963" s="619" t="s">
        <v>2235</v>
      </c>
      <c r="K1963" s="618"/>
      <c r="L1963" s="619">
        <v>108</v>
      </c>
      <c r="M1963" s="620">
        <v>103</v>
      </c>
      <c r="N1963" s="619"/>
      <c r="O1963" s="619">
        <v>14</v>
      </c>
      <c r="P1963" s="619" t="s">
        <v>760</v>
      </c>
      <c r="Q1963" s="662"/>
      <c r="R1963" s="618"/>
      <c r="S1963" s="621" t="s">
        <v>2788</v>
      </c>
      <c r="T1963" s="619" t="s">
        <v>2237</v>
      </c>
    </row>
    <row r="1964" spans="1:20">
      <c r="A1964" s="622"/>
      <c r="B1964" s="628"/>
      <c r="C1964" s="623"/>
      <c r="D1964" s="623"/>
      <c r="E1964" s="627" t="s">
        <v>1394</v>
      </c>
      <c r="F1964" s="626"/>
      <c r="G1964" s="623"/>
      <c r="H1964" s="627"/>
      <c r="I1964" s="618"/>
      <c r="J1964" s="618"/>
      <c r="K1964" s="618"/>
      <c r="L1964" s="618"/>
      <c r="M1964" s="618"/>
      <c r="N1964" s="618"/>
      <c r="O1964" s="618"/>
      <c r="P1964" s="618"/>
      <c r="Q1964" s="662"/>
      <c r="R1964" s="618"/>
      <c r="S1964" s="621"/>
      <c r="T1964" s="618"/>
    </row>
    <row r="1965" spans="1:20">
      <c r="A1965" s="630">
        <v>5822239</v>
      </c>
      <c r="B1965" s="628"/>
      <c r="C1965" s="623"/>
      <c r="D1965" s="623"/>
      <c r="E1965" s="627" t="s">
        <v>2238</v>
      </c>
      <c r="F1965" s="631" t="s">
        <v>2798</v>
      </c>
      <c r="G1965" s="661">
        <v>582</v>
      </c>
      <c r="H1965" s="633">
        <v>2239</v>
      </c>
      <c r="I1965" s="618"/>
      <c r="J1965" s="619" t="s">
        <v>2238</v>
      </c>
      <c r="K1965" s="618"/>
      <c r="L1965" s="619">
        <v>118</v>
      </c>
      <c r="M1965" s="620">
        <v>109</v>
      </c>
      <c r="N1965" s="619"/>
      <c r="O1965" s="619">
        <v>14</v>
      </c>
      <c r="P1965" s="619" t="s">
        <v>760</v>
      </c>
      <c r="Q1965" s="662"/>
      <c r="R1965" s="618"/>
      <c r="S1965" s="621" t="s">
        <v>2788</v>
      </c>
      <c r="T1965" s="619" t="s">
        <v>1037</v>
      </c>
    </row>
    <row r="1966" spans="1:20">
      <c r="A1966" s="630">
        <v>5002239</v>
      </c>
      <c r="B1966" s="628"/>
      <c r="C1966" s="623"/>
      <c r="D1966" s="623"/>
      <c r="E1966" s="627" t="s">
        <v>2240</v>
      </c>
      <c r="F1966" s="631" t="s">
        <v>2799</v>
      </c>
      <c r="G1966" s="661">
        <v>500</v>
      </c>
      <c r="H1966" s="633">
        <v>2239</v>
      </c>
      <c r="I1966" s="618"/>
      <c r="J1966" s="619" t="s">
        <v>2240</v>
      </c>
      <c r="K1966" s="618"/>
      <c r="L1966" s="619">
        <v>119</v>
      </c>
      <c r="M1966" s="620">
        <v>110</v>
      </c>
      <c r="N1966" s="619"/>
      <c r="O1966" s="619">
        <v>14</v>
      </c>
      <c r="P1966" s="619" t="s">
        <v>760</v>
      </c>
      <c r="Q1966" s="662"/>
      <c r="R1966" s="618"/>
      <c r="S1966" s="621" t="s">
        <v>2788</v>
      </c>
      <c r="T1966" s="619" t="s">
        <v>252</v>
      </c>
    </row>
    <row r="1967" spans="1:20">
      <c r="A1967" s="622"/>
      <c r="B1967" s="628"/>
      <c r="C1967" s="623"/>
      <c r="D1967" s="623"/>
      <c r="E1967" s="627" t="s">
        <v>2242</v>
      </c>
      <c r="F1967" s="626"/>
      <c r="G1967" s="623"/>
      <c r="H1967" s="627"/>
      <c r="I1967" s="618"/>
      <c r="J1967" s="618"/>
      <c r="K1967" s="618"/>
      <c r="L1967" s="618"/>
      <c r="M1967" s="618"/>
      <c r="N1967" s="618"/>
      <c r="O1967" s="618"/>
      <c r="P1967" s="618"/>
      <c r="Q1967" s="662"/>
      <c r="R1967" s="618"/>
      <c r="S1967" s="621"/>
      <c r="T1967" s="618"/>
    </row>
    <row r="1968" spans="1:20">
      <c r="A1968" s="630">
        <v>6152239</v>
      </c>
      <c r="B1968" s="628"/>
      <c r="C1968" s="623"/>
      <c r="D1968" s="623"/>
      <c r="E1968" s="627" t="s">
        <v>2243</v>
      </c>
      <c r="F1968" s="631" t="s">
        <v>2800</v>
      </c>
      <c r="G1968" s="661">
        <v>615</v>
      </c>
      <c r="H1968" s="633">
        <v>2239</v>
      </c>
      <c r="I1968" s="618"/>
      <c r="J1968" s="619" t="s">
        <v>2243</v>
      </c>
      <c r="K1968" s="618"/>
      <c r="L1968" s="619">
        <v>126</v>
      </c>
      <c r="M1968" s="620">
        <v>117</v>
      </c>
      <c r="N1968" s="619"/>
      <c r="O1968" s="619">
        <v>14</v>
      </c>
      <c r="P1968" s="619" t="s">
        <v>760</v>
      </c>
      <c r="Q1968" s="662" t="s">
        <v>1043</v>
      </c>
      <c r="R1968" s="618"/>
      <c r="S1968" s="621" t="s">
        <v>2788</v>
      </c>
      <c r="T1968" s="619" t="s">
        <v>1041</v>
      </c>
    </row>
    <row r="1969" spans="1:20">
      <c r="A1969" s="630">
        <v>6102239</v>
      </c>
      <c r="B1969" s="628"/>
      <c r="C1969" s="623"/>
      <c r="D1969" s="623"/>
      <c r="E1969" s="627" t="s">
        <v>2245</v>
      </c>
      <c r="F1969" s="631" t="s">
        <v>2801</v>
      </c>
      <c r="G1969" s="661">
        <v>610</v>
      </c>
      <c r="H1969" s="633">
        <v>2239</v>
      </c>
      <c r="I1969" s="618"/>
      <c r="J1969" s="619" t="s">
        <v>2245</v>
      </c>
      <c r="K1969" s="618"/>
      <c r="L1969" s="619">
        <v>122</v>
      </c>
      <c r="M1969" s="620">
        <v>113</v>
      </c>
      <c r="N1969" s="619"/>
      <c r="O1969" s="619">
        <v>14</v>
      </c>
      <c r="P1969" s="619" t="s">
        <v>760</v>
      </c>
      <c r="Q1969" s="662" t="s">
        <v>1043</v>
      </c>
      <c r="R1969" s="618"/>
      <c r="S1969" s="621" t="s">
        <v>2788</v>
      </c>
      <c r="T1969" s="619" t="s">
        <v>39</v>
      </c>
    </row>
    <row r="1970" spans="1:20">
      <c r="A1970" s="630">
        <v>6002239</v>
      </c>
      <c r="B1970" s="628"/>
      <c r="C1970" s="623"/>
      <c r="D1970" s="623"/>
      <c r="E1970" s="627" t="s">
        <v>2247</v>
      </c>
      <c r="F1970" s="631" t="s">
        <v>2802</v>
      </c>
      <c r="G1970" s="661">
        <v>600</v>
      </c>
      <c r="H1970" s="633">
        <v>2239</v>
      </c>
      <c r="I1970" s="618"/>
      <c r="J1970" s="619" t="s">
        <v>2247</v>
      </c>
      <c r="K1970" s="618"/>
      <c r="L1970" s="619">
        <v>126</v>
      </c>
      <c r="M1970" s="620">
        <v>117</v>
      </c>
      <c r="N1970" s="619"/>
      <c r="O1970" s="619">
        <v>14</v>
      </c>
      <c r="P1970" s="619" t="s">
        <v>760</v>
      </c>
      <c r="Q1970" s="662"/>
      <c r="R1970" s="618"/>
      <c r="S1970" s="621" t="s">
        <v>2788</v>
      </c>
      <c r="T1970" s="619" t="s">
        <v>1048</v>
      </c>
    </row>
    <row r="1971" spans="1:20">
      <c r="A1971" s="622"/>
      <c r="B1971" s="628"/>
      <c r="C1971" s="623"/>
      <c r="D1971" s="623"/>
      <c r="E1971" s="627" t="s">
        <v>2249</v>
      </c>
      <c r="F1971" s="626"/>
      <c r="G1971" s="623"/>
      <c r="H1971" s="627"/>
      <c r="I1971" s="618"/>
      <c r="J1971" s="618"/>
      <c r="K1971" s="618"/>
      <c r="L1971" s="618"/>
      <c r="M1971" s="618"/>
      <c r="N1971" s="618"/>
      <c r="O1971" s="618"/>
      <c r="P1971" s="618"/>
      <c r="Q1971" s="662"/>
      <c r="R1971" s="618"/>
      <c r="S1971" s="621"/>
      <c r="T1971" s="618"/>
    </row>
    <row r="1972" spans="1:20">
      <c r="A1972" s="630">
        <v>7342239</v>
      </c>
      <c r="B1972" s="628"/>
      <c r="C1972" s="623"/>
      <c r="D1972" s="623"/>
      <c r="E1972" s="627" t="s">
        <v>2250</v>
      </c>
      <c r="F1972" s="631" t="s">
        <v>2803</v>
      </c>
      <c r="G1972" s="661">
        <v>734</v>
      </c>
      <c r="H1972" s="633">
        <v>2239</v>
      </c>
      <c r="I1972" s="618"/>
      <c r="J1972" s="619" t="s">
        <v>2250</v>
      </c>
      <c r="K1972" s="618"/>
      <c r="L1972" s="619">
        <v>131</v>
      </c>
      <c r="M1972" s="620">
        <v>122</v>
      </c>
      <c r="N1972" s="619"/>
      <c r="O1972" s="619">
        <v>14</v>
      </c>
      <c r="P1972" s="619" t="s">
        <v>760</v>
      </c>
      <c r="Q1972" s="662"/>
      <c r="R1972" s="618"/>
      <c r="S1972" s="621" t="s">
        <v>2788</v>
      </c>
      <c r="T1972" s="619" t="s">
        <v>1051</v>
      </c>
    </row>
    <row r="1973" spans="1:20">
      <c r="A1973" s="630">
        <v>7352239</v>
      </c>
      <c r="B1973" s="628"/>
      <c r="C1973" s="623"/>
      <c r="D1973" s="623"/>
      <c r="E1973" s="627" t="s">
        <v>2252</v>
      </c>
      <c r="F1973" s="631" t="s">
        <v>2804</v>
      </c>
      <c r="G1973" s="661">
        <v>735</v>
      </c>
      <c r="H1973" s="633">
        <v>2239</v>
      </c>
      <c r="I1973" s="618"/>
      <c r="J1973" s="619" t="s">
        <v>2252</v>
      </c>
      <c r="K1973" s="618"/>
      <c r="L1973" s="619">
        <v>131</v>
      </c>
      <c r="M1973" s="620">
        <v>122</v>
      </c>
      <c r="N1973" s="619"/>
      <c r="O1973" s="619">
        <v>14</v>
      </c>
      <c r="P1973" s="619" t="s">
        <v>760</v>
      </c>
      <c r="Q1973" s="662"/>
      <c r="R1973" s="618"/>
      <c r="S1973" s="621" t="s">
        <v>2788</v>
      </c>
      <c r="T1973" s="619" t="s">
        <v>1053</v>
      </c>
    </row>
    <row r="1974" spans="1:20">
      <c r="A1974" s="630">
        <v>7302239</v>
      </c>
      <c r="B1974" s="628"/>
      <c r="C1974" s="623"/>
      <c r="D1974" s="623"/>
      <c r="E1974" s="627" t="s">
        <v>2254</v>
      </c>
      <c r="F1974" s="631" t="s">
        <v>2805</v>
      </c>
      <c r="G1974" s="661">
        <v>730</v>
      </c>
      <c r="H1974" s="633">
        <v>2239</v>
      </c>
      <c r="I1974" s="618"/>
      <c r="J1974" s="619" t="s">
        <v>2254</v>
      </c>
      <c r="K1974" s="618"/>
      <c r="L1974" s="619">
        <v>131</v>
      </c>
      <c r="M1974" s="620">
        <v>122</v>
      </c>
      <c r="N1974" s="619"/>
      <c r="O1974" s="619">
        <v>14</v>
      </c>
      <c r="P1974" s="619" t="s">
        <v>760</v>
      </c>
      <c r="Q1974" s="662"/>
      <c r="R1974" s="618"/>
      <c r="S1974" s="621" t="s">
        <v>2788</v>
      </c>
      <c r="T1974" s="619" t="s">
        <v>1055</v>
      </c>
    </row>
    <row r="1975" spans="1:20">
      <c r="A1975" s="630">
        <v>7002239</v>
      </c>
      <c r="B1975" s="628"/>
      <c r="C1975" s="623"/>
      <c r="D1975" s="623"/>
      <c r="E1975" s="627" t="s">
        <v>2256</v>
      </c>
      <c r="F1975" s="631" t="s">
        <v>2806</v>
      </c>
      <c r="G1975" s="661">
        <v>700</v>
      </c>
      <c r="H1975" s="633">
        <v>2239</v>
      </c>
      <c r="I1975" s="618"/>
      <c r="J1975" s="619" t="s">
        <v>2256</v>
      </c>
      <c r="K1975" s="618"/>
      <c r="L1975" s="619">
        <v>132</v>
      </c>
      <c r="M1975" s="620">
        <v>123</v>
      </c>
      <c r="N1975" s="619"/>
      <c r="O1975" s="619">
        <v>14</v>
      </c>
      <c r="P1975" s="619" t="s">
        <v>760</v>
      </c>
      <c r="Q1975" s="662"/>
      <c r="R1975" s="618"/>
      <c r="S1975" s="621" t="s">
        <v>2788</v>
      </c>
      <c r="T1975" s="619" t="s">
        <v>1057</v>
      </c>
    </row>
    <row r="1976" spans="1:20">
      <c r="A1976" s="622"/>
      <c r="B1976" s="628"/>
      <c r="C1976" s="623"/>
      <c r="D1976" s="623"/>
      <c r="E1976" s="627" t="s">
        <v>2258</v>
      </c>
      <c r="F1976" s="626"/>
      <c r="G1976" s="623"/>
      <c r="H1976" s="627"/>
      <c r="I1976" s="618"/>
      <c r="J1976" s="618"/>
      <c r="K1976" s="618"/>
      <c r="L1976" s="618"/>
      <c r="M1976" s="618"/>
      <c r="N1976" s="618"/>
      <c r="O1976" s="618"/>
      <c r="P1976" s="618"/>
      <c r="Q1976" s="662"/>
      <c r="R1976" s="618"/>
      <c r="S1976" s="621"/>
      <c r="T1976" s="618"/>
    </row>
    <row r="1977" spans="1:20">
      <c r="A1977" s="630">
        <v>8952239</v>
      </c>
      <c r="B1977" s="628"/>
      <c r="C1977" s="623"/>
      <c r="D1977" s="623"/>
      <c r="E1977" s="627" t="s">
        <v>2259</v>
      </c>
      <c r="F1977" s="631" t="s">
        <v>2807</v>
      </c>
      <c r="G1977" s="661">
        <v>895</v>
      </c>
      <c r="H1977" s="633">
        <v>2239</v>
      </c>
      <c r="I1977" s="618"/>
      <c r="J1977" s="619" t="s">
        <v>2259</v>
      </c>
      <c r="K1977" s="618"/>
      <c r="L1977" s="619">
        <v>139</v>
      </c>
      <c r="M1977" s="620">
        <v>129</v>
      </c>
      <c r="N1977" s="619"/>
      <c r="O1977" s="619">
        <v>14</v>
      </c>
      <c r="P1977" s="619" t="s">
        <v>760</v>
      </c>
      <c r="Q1977" s="662"/>
      <c r="R1977" s="618"/>
      <c r="S1977" s="621" t="s">
        <v>2788</v>
      </c>
      <c r="T1977" s="619" t="s">
        <v>2261</v>
      </c>
    </row>
    <row r="1978" spans="1:20">
      <c r="A1978" s="630">
        <v>8002239</v>
      </c>
      <c r="B1978" s="628"/>
      <c r="C1978" s="623"/>
      <c r="D1978" s="623"/>
      <c r="E1978" s="627" t="s">
        <v>2262</v>
      </c>
      <c r="F1978" s="631" t="s">
        <v>2808</v>
      </c>
      <c r="G1978" s="661">
        <v>800</v>
      </c>
      <c r="H1978" s="633">
        <v>2239</v>
      </c>
      <c r="I1978" s="618"/>
      <c r="J1978" s="619" t="s">
        <v>2262</v>
      </c>
      <c r="K1978" s="618"/>
      <c r="L1978" s="619">
        <v>139</v>
      </c>
      <c r="M1978" s="620">
        <v>129</v>
      </c>
      <c r="N1978" s="619"/>
      <c r="O1978" s="619">
        <v>14</v>
      </c>
      <c r="P1978" s="619" t="s">
        <v>760</v>
      </c>
      <c r="Q1978" s="662"/>
      <c r="R1978" s="618"/>
      <c r="S1978" s="621" t="s">
        <v>2788</v>
      </c>
      <c r="T1978" s="619" t="s">
        <v>1061</v>
      </c>
    </row>
    <row r="1979" spans="1:20">
      <c r="A1979" s="622"/>
      <c r="B1979" s="628"/>
      <c r="C1979" s="623"/>
      <c r="D1979" s="623"/>
      <c r="E1979" s="627" t="s">
        <v>2264</v>
      </c>
      <c r="F1979" s="626"/>
      <c r="G1979" s="623"/>
      <c r="H1979" s="627"/>
      <c r="I1979" s="618"/>
      <c r="J1979" s="618"/>
      <c r="K1979" s="618"/>
      <c r="L1979" s="618"/>
      <c r="M1979" s="618"/>
      <c r="N1979" s="618"/>
      <c r="O1979" s="618"/>
      <c r="P1979" s="618"/>
      <c r="Q1979" s="662"/>
      <c r="R1979" s="618"/>
      <c r="S1979" s="621"/>
      <c r="T1979" s="618"/>
    </row>
    <row r="1980" spans="1:20">
      <c r="A1980" s="630">
        <v>2102239</v>
      </c>
      <c r="B1980" s="628"/>
      <c r="C1980" s="623"/>
      <c r="D1980" s="623"/>
      <c r="E1980" s="627" t="s">
        <v>2265</v>
      </c>
      <c r="F1980" s="631" t="s">
        <v>2809</v>
      </c>
      <c r="G1980" s="661">
        <v>210</v>
      </c>
      <c r="H1980" s="633">
        <v>2239</v>
      </c>
      <c r="I1980" s="618"/>
      <c r="J1980" s="619" t="s">
        <v>2265</v>
      </c>
      <c r="K1980" s="618"/>
      <c r="L1980" s="619">
        <v>89</v>
      </c>
      <c r="M1980" s="620">
        <v>84</v>
      </c>
      <c r="N1980" s="619"/>
      <c r="O1980" s="619">
        <v>14</v>
      </c>
      <c r="P1980" s="619" t="s">
        <v>760</v>
      </c>
      <c r="Q1980" s="662" t="s">
        <v>1002</v>
      </c>
      <c r="R1980" s="618"/>
      <c r="S1980" s="621" t="s">
        <v>2788</v>
      </c>
      <c r="T1980" s="619" t="s">
        <v>1064</v>
      </c>
    </row>
    <row r="1981" spans="1:20">
      <c r="A1981" s="630">
        <v>2202239</v>
      </c>
      <c r="B1981" s="628"/>
      <c r="C1981" s="623"/>
      <c r="D1981" s="623"/>
      <c r="E1981" s="627" t="s">
        <v>2267</v>
      </c>
      <c r="F1981" s="631" t="s">
        <v>2810</v>
      </c>
      <c r="G1981" s="661">
        <v>220</v>
      </c>
      <c r="H1981" s="633">
        <v>2239</v>
      </c>
      <c r="I1981" s="618"/>
      <c r="J1981" s="619" t="s">
        <v>2267</v>
      </c>
      <c r="K1981" s="618"/>
      <c r="L1981" s="619">
        <v>90</v>
      </c>
      <c r="M1981" s="620">
        <v>85</v>
      </c>
      <c r="N1981" s="619"/>
      <c r="O1981" s="619">
        <v>14</v>
      </c>
      <c r="P1981" s="619" t="s">
        <v>760</v>
      </c>
      <c r="Q1981" s="662" t="s">
        <v>1002</v>
      </c>
      <c r="R1981" s="618"/>
      <c r="S1981" s="621" t="s">
        <v>2788</v>
      </c>
      <c r="T1981" s="619" t="s">
        <v>1066</v>
      </c>
    </row>
    <row r="1982" spans="1:20">
      <c r="A1982" s="630">
        <v>2252239</v>
      </c>
      <c r="B1982" s="628"/>
      <c r="C1982" s="623"/>
      <c r="D1982" s="623"/>
      <c r="E1982" s="627" t="s">
        <v>2269</v>
      </c>
      <c r="F1982" s="631" t="s">
        <v>2811</v>
      </c>
      <c r="G1982" s="661">
        <v>225</v>
      </c>
      <c r="H1982" s="633">
        <v>2239</v>
      </c>
      <c r="I1982" s="618"/>
      <c r="J1982" s="619" t="s">
        <v>2269</v>
      </c>
      <c r="K1982" s="618"/>
      <c r="L1982" s="619">
        <v>91</v>
      </c>
      <c r="M1982" s="620">
        <v>86</v>
      </c>
      <c r="N1982" s="619"/>
      <c r="O1982" s="619">
        <v>14</v>
      </c>
      <c r="P1982" s="619" t="s">
        <v>760</v>
      </c>
      <c r="Q1982" s="662" t="s">
        <v>1002</v>
      </c>
      <c r="R1982" s="618"/>
      <c r="S1982" s="621" t="s">
        <v>2788</v>
      </c>
      <c r="T1982" s="619" t="s">
        <v>23</v>
      </c>
    </row>
    <row r="1983" spans="1:20">
      <c r="A1983" s="622"/>
      <c r="B1983" s="628"/>
      <c r="C1983" s="623"/>
      <c r="D1983" s="623"/>
      <c r="E1983" s="627" t="s">
        <v>2271</v>
      </c>
      <c r="F1983" s="626"/>
      <c r="G1983" s="623"/>
      <c r="H1983" s="627"/>
      <c r="I1983" s="618"/>
      <c r="J1983" s="618"/>
      <c r="K1983" s="618"/>
      <c r="L1983" s="618"/>
      <c r="M1983" s="618"/>
      <c r="N1983" s="618"/>
      <c r="O1983" s="618"/>
      <c r="P1983" s="618"/>
      <c r="Q1983" s="662"/>
      <c r="R1983" s="618"/>
      <c r="S1983" s="621"/>
      <c r="T1983" s="618"/>
    </row>
    <row r="1984" spans="1:20">
      <c r="A1984" s="630">
        <v>2312239</v>
      </c>
      <c r="B1984" s="628"/>
      <c r="C1984" s="623"/>
      <c r="D1984" s="623"/>
      <c r="E1984" s="627" t="s">
        <v>2272</v>
      </c>
      <c r="F1984" s="631" t="s">
        <v>2812</v>
      </c>
      <c r="G1984" s="661">
        <v>231</v>
      </c>
      <c r="H1984" s="633">
        <v>2239</v>
      </c>
      <c r="I1984" s="618"/>
      <c r="J1984" s="619" t="s">
        <v>2272</v>
      </c>
      <c r="K1984" s="618"/>
      <c r="L1984" s="619">
        <v>92</v>
      </c>
      <c r="M1984" s="620">
        <v>87</v>
      </c>
      <c r="N1984" s="619"/>
      <c r="O1984" s="619">
        <v>14</v>
      </c>
      <c r="P1984" s="619" t="s">
        <v>760</v>
      </c>
      <c r="Q1984" s="662" t="s">
        <v>1002</v>
      </c>
      <c r="R1984" s="618"/>
      <c r="S1984" s="621" t="s">
        <v>2788</v>
      </c>
      <c r="T1984" s="619" t="s">
        <v>1072</v>
      </c>
    </row>
    <row r="1985" spans="1:20">
      <c r="A1985" s="630">
        <v>2332239</v>
      </c>
      <c r="B1985" s="628"/>
      <c r="C1985" s="623"/>
      <c r="D1985" s="623"/>
      <c r="E1985" s="627" t="s">
        <v>2274</v>
      </c>
      <c r="F1985" s="631" t="s">
        <v>2813</v>
      </c>
      <c r="G1985" s="661">
        <v>233</v>
      </c>
      <c r="H1985" s="633">
        <v>2239</v>
      </c>
      <c r="I1985" s="618"/>
      <c r="J1985" s="619" t="s">
        <v>2274</v>
      </c>
      <c r="K1985" s="618"/>
      <c r="L1985" s="619">
        <v>92</v>
      </c>
      <c r="M1985" s="620">
        <v>87</v>
      </c>
      <c r="N1985" s="619"/>
      <c r="O1985" s="619">
        <v>14</v>
      </c>
      <c r="P1985" s="619" t="s">
        <v>760</v>
      </c>
      <c r="Q1985" s="662" t="s">
        <v>1002</v>
      </c>
      <c r="R1985" s="618"/>
      <c r="S1985" s="621" t="s">
        <v>2788</v>
      </c>
      <c r="T1985" s="619" t="s">
        <v>2276</v>
      </c>
    </row>
    <row r="1986" spans="1:20">
      <c r="A1986" s="630">
        <v>2392239</v>
      </c>
      <c r="B1986" s="628"/>
      <c r="C1986" s="623"/>
      <c r="D1986" s="623"/>
      <c r="E1986" s="627" t="s">
        <v>2277</v>
      </c>
      <c r="F1986" s="631" t="s">
        <v>2814</v>
      </c>
      <c r="G1986" s="661">
        <v>239</v>
      </c>
      <c r="H1986" s="633">
        <v>2239</v>
      </c>
      <c r="I1986" s="618"/>
      <c r="J1986" s="619" t="s">
        <v>2277</v>
      </c>
      <c r="K1986" s="618"/>
      <c r="L1986" s="619">
        <v>92</v>
      </c>
      <c r="M1986" s="620">
        <v>87</v>
      </c>
      <c r="N1986" s="619"/>
      <c r="O1986" s="619">
        <v>14</v>
      </c>
      <c r="P1986" s="619" t="s">
        <v>760</v>
      </c>
      <c r="Q1986" s="662" t="s">
        <v>1002</v>
      </c>
      <c r="R1986" s="618"/>
      <c r="S1986" s="621" t="s">
        <v>2788</v>
      </c>
      <c r="T1986" s="619" t="s">
        <v>1078</v>
      </c>
    </row>
    <row r="1987" spans="1:20">
      <c r="A1987" s="630">
        <v>2402239</v>
      </c>
      <c r="B1987" s="628"/>
      <c r="C1987" s="623"/>
      <c r="D1987" s="623"/>
      <c r="E1987" s="627" t="s">
        <v>2586</v>
      </c>
      <c r="F1987" s="631" t="s">
        <v>2815</v>
      </c>
      <c r="G1987" s="661">
        <v>240</v>
      </c>
      <c r="H1987" s="633">
        <v>2239</v>
      </c>
      <c r="I1987" s="618"/>
      <c r="J1987" s="619" t="s">
        <v>2586</v>
      </c>
      <c r="K1987" s="618"/>
      <c r="L1987" s="619">
        <v>95</v>
      </c>
      <c r="M1987" s="620">
        <v>90</v>
      </c>
      <c r="N1987" s="619"/>
      <c r="O1987" s="619">
        <v>14</v>
      </c>
      <c r="P1987" s="619" t="s">
        <v>760</v>
      </c>
      <c r="Q1987" s="662" t="s">
        <v>1002</v>
      </c>
      <c r="R1987" s="618"/>
      <c r="S1987" s="621" t="s">
        <v>2788</v>
      </c>
      <c r="T1987" s="619" t="s">
        <v>2588</v>
      </c>
    </row>
    <row r="1988" spans="1:20">
      <c r="A1988" s="630">
        <v>2502239</v>
      </c>
      <c r="B1988" s="628"/>
      <c r="C1988" s="623"/>
      <c r="D1988" s="623"/>
      <c r="E1988" s="627" t="s">
        <v>2589</v>
      </c>
      <c r="F1988" s="631" t="s">
        <v>2816</v>
      </c>
      <c r="G1988" s="661">
        <v>250</v>
      </c>
      <c r="H1988" s="633">
        <v>2239</v>
      </c>
      <c r="I1988" s="618"/>
      <c r="J1988" s="619" t="s">
        <v>2589</v>
      </c>
      <c r="K1988" s="618"/>
      <c r="L1988" s="619">
        <v>93</v>
      </c>
      <c r="M1988" s="620">
        <v>88</v>
      </c>
      <c r="N1988" s="619"/>
      <c r="O1988" s="619">
        <v>14</v>
      </c>
      <c r="P1988" s="619" t="s">
        <v>760</v>
      </c>
      <c r="Q1988" s="662" t="s">
        <v>1002</v>
      </c>
      <c r="R1988" s="618"/>
      <c r="S1988" s="621" t="s">
        <v>2788</v>
      </c>
      <c r="T1988" s="619" t="s">
        <v>1079</v>
      </c>
    </row>
    <row r="1989" spans="1:20">
      <c r="A1989" s="630">
        <v>2602239</v>
      </c>
      <c r="B1989" s="628"/>
      <c r="C1989" s="623"/>
      <c r="D1989" s="623"/>
      <c r="E1989" s="627" t="s">
        <v>2591</v>
      </c>
      <c r="F1989" s="631" t="s">
        <v>2817</v>
      </c>
      <c r="G1989" s="661">
        <v>260</v>
      </c>
      <c r="H1989" s="633">
        <v>2239</v>
      </c>
      <c r="I1989" s="618"/>
      <c r="J1989" s="619" t="s">
        <v>2591</v>
      </c>
      <c r="K1989" s="618"/>
      <c r="L1989" s="619">
        <v>95</v>
      </c>
      <c r="M1989" s="620">
        <v>90</v>
      </c>
      <c r="N1989" s="619"/>
      <c r="O1989" s="619">
        <v>14</v>
      </c>
      <c r="P1989" s="619" t="s">
        <v>760</v>
      </c>
      <c r="Q1989" s="662" t="s">
        <v>1002</v>
      </c>
      <c r="R1989" s="618"/>
      <c r="S1989" s="621" t="s">
        <v>2788</v>
      </c>
      <c r="T1989" s="619" t="s">
        <v>1081</v>
      </c>
    </row>
    <row r="1990" spans="1:20">
      <c r="A1990" s="630">
        <v>2702239</v>
      </c>
      <c r="B1990" s="628"/>
      <c r="C1990" s="623"/>
      <c r="D1990" s="623"/>
      <c r="E1990" s="627" t="s">
        <v>2593</v>
      </c>
      <c r="F1990" s="631" t="s">
        <v>2818</v>
      </c>
      <c r="G1990" s="661">
        <v>270</v>
      </c>
      <c r="H1990" s="633">
        <v>2239</v>
      </c>
      <c r="I1990" s="618"/>
      <c r="J1990" s="619" t="s">
        <v>2593</v>
      </c>
      <c r="K1990" s="618"/>
      <c r="L1990" s="619">
        <v>94</v>
      </c>
      <c r="M1990" s="620">
        <v>89</v>
      </c>
      <c r="N1990" s="619"/>
      <c r="O1990" s="619">
        <v>14</v>
      </c>
      <c r="P1990" s="619" t="s">
        <v>760</v>
      </c>
      <c r="Q1990" s="662" t="s">
        <v>1002</v>
      </c>
      <c r="R1990" s="618"/>
      <c r="S1990" s="621" t="s">
        <v>2788</v>
      </c>
      <c r="T1990" s="619" t="s">
        <v>1083</v>
      </c>
    </row>
    <row r="1991" spans="1:20">
      <c r="A1991" s="630">
        <v>2812239</v>
      </c>
      <c r="B1991" s="628"/>
      <c r="C1991" s="623"/>
      <c r="D1991" s="623"/>
      <c r="E1991" s="627" t="s">
        <v>2595</v>
      </c>
      <c r="F1991" s="631" t="s">
        <v>2819</v>
      </c>
      <c r="G1991" s="661">
        <v>281</v>
      </c>
      <c r="H1991" s="633">
        <v>2239</v>
      </c>
      <c r="I1991" s="618"/>
      <c r="J1991" s="619" t="s">
        <v>2595</v>
      </c>
      <c r="K1991" s="618"/>
      <c r="L1991" s="619">
        <v>95</v>
      </c>
      <c r="M1991" s="620">
        <v>90</v>
      </c>
      <c r="N1991" s="619"/>
      <c r="O1991" s="619">
        <v>14</v>
      </c>
      <c r="P1991" s="619" t="s">
        <v>760</v>
      </c>
      <c r="Q1991" s="662" t="s">
        <v>1002</v>
      </c>
      <c r="R1991" s="618"/>
      <c r="S1991" s="621" t="s">
        <v>2788</v>
      </c>
      <c r="T1991" s="619" t="s">
        <v>1085</v>
      </c>
    </row>
    <row r="1992" spans="1:20">
      <c r="A1992" s="630">
        <v>2822239</v>
      </c>
      <c r="B1992" s="628"/>
      <c r="C1992" s="623"/>
      <c r="D1992" s="623"/>
      <c r="E1992" s="627" t="s">
        <v>2597</v>
      </c>
      <c r="F1992" s="631" t="s">
        <v>2820</v>
      </c>
      <c r="G1992" s="661">
        <v>282</v>
      </c>
      <c r="H1992" s="633">
        <v>2239</v>
      </c>
      <c r="I1992" s="618"/>
      <c r="J1992" s="619" t="s">
        <v>2597</v>
      </c>
      <c r="K1992" s="618"/>
      <c r="L1992" s="619">
        <v>95</v>
      </c>
      <c r="M1992" s="620">
        <v>90</v>
      </c>
      <c r="N1992" s="619"/>
      <c r="O1992" s="619">
        <v>14</v>
      </c>
      <c r="P1992" s="619" t="s">
        <v>760</v>
      </c>
      <c r="Q1992" s="662" t="s">
        <v>1002</v>
      </c>
      <c r="R1992" s="618"/>
      <c r="S1992" s="621" t="s">
        <v>2788</v>
      </c>
      <c r="T1992" s="619" t="s">
        <v>1087</v>
      </c>
    </row>
    <row r="1993" spans="1:20">
      <c r="A1993" s="630">
        <v>2902239</v>
      </c>
      <c r="B1993" s="628"/>
      <c r="C1993" s="623"/>
      <c r="D1993" s="623"/>
      <c r="E1993" s="627" t="s">
        <v>2599</v>
      </c>
      <c r="F1993" s="631" t="s">
        <v>2821</v>
      </c>
      <c r="G1993" s="661">
        <v>290</v>
      </c>
      <c r="H1993" s="633">
        <v>2239</v>
      </c>
      <c r="I1993" s="618"/>
      <c r="J1993" s="619" t="s">
        <v>2599</v>
      </c>
      <c r="K1993" s="618"/>
      <c r="L1993" s="619">
        <v>95</v>
      </c>
      <c r="M1993" s="620">
        <v>90</v>
      </c>
      <c r="N1993" s="619"/>
      <c r="O1993" s="619">
        <v>14</v>
      </c>
      <c r="P1993" s="619" t="s">
        <v>760</v>
      </c>
      <c r="Q1993" s="662" t="s">
        <v>1002</v>
      </c>
      <c r="R1993" s="618"/>
      <c r="S1993" s="621" t="s">
        <v>2788</v>
      </c>
      <c r="T1993" s="619" t="s">
        <v>1090</v>
      </c>
    </row>
    <row r="1994" spans="1:20">
      <c r="A1994" s="622"/>
      <c r="B1994" s="628"/>
      <c r="C1994" s="629">
        <v>58</v>
      </c>
      <c r="D1994" s="784" t="s">
        <v>2822</v>
      </c>
      <c r="E1994" s="775"/>
      <c r="F1994" s="626"/>
      <c r="G1994" s="623"/>
      <c r="H1994" s="627"/>
      <c r="I1994" s="618"/>
      <c r="J1994" s="618"/>
      <c r="K1994" s="618"/>
      <c r="L1994" s="618"/>
      <c r="M1994" s="618"/>
      <c r="N1994" s="618"/>
      <c r="O1994" s="618"/>
      <c r="P1994" s="618"/>
      <c r="Q1994" s="662"/>
      <c r="R1994" s="618"/>
      <c r="S1994" s="621"/>
      <c r="T1994" s="618"/>
    </row>
    <row r="1995" spans="1:20">
      <c r="A1995" s="622"/>
      <c r="B1995" s="628"/>
      <c r="C1995" s="623"/>
      <c r="D1995" s="623" t="s">
        <v>756</v>
      </c>
      <c r="E1995" s="627" t="s">
        <v>2823</v>
      </c>
      <c r="F1995" s="626"/>
      <c r="G1995" s="623"/>
      <c r="H1995" s="627"/>
      <c r="I1995" s="618"/>
      <c r="J1995" s="618"/>
      <c r="K1995" s="618"/>
      <c r="L1995" s="618"/>
      <c r="M1995" s="618"/>
      <c r="N1995" s="618"/>
      <c r="O1995" s="618"/>
      <c r="P1995" s="618"/>
      <c r="Q1995" s="662"/>
      <c r="R1995" s="618"/>
      <c r="S1995" s="621"/>
      <c r="T1995" s="618"/>
    </row>
    <row r="1996" spans="1:20">
      <c r="A1996" s="622"/>
      <c r="B1996" s="628"/>
      <c r="C1996" s="623"/>
      <c r="D1996" s="623"/>
      <c r="E1996" s="627" t="s">
        <v>2678</v>
      </c>
      <c r="F1996" s="626"/>
      <c r="G1996" s="623"/>
      <c r="H1996" s="627"/>
      <c r="I1996" s="618"/>
      <c r="J1996" s="618"/>
      <c r="K1996" s="618"/>
      <c r="L1996" s="618"/>
      <c r="M1996" s="618"/>
      <c r="N1996" s="618"/>
      <c r="O1996" s="618"/>
      <c r="P1996" s="618"/>
      <c r="Q1996" s="662"/>
      <c r="R1996" s="618"/>
      <c r="S1996" s="621"/>
      <c r="T1996" s="618"/>
    </row>
    <row r="1997" spans="1:20">
      <c r="A1997" s="630">
        <v>1112251</v>
      </c>
      <c r="B1997" s="628"/>
      <c r="C1997" s="623"/>
      <c r="D1997" s="623"/>
      <c r="E1997" s="627" t="s">
        <v>2824</v>
      </c>
      <c r="F1997" s="631" t="s">
        <v>2825</v>
      </c>
      <c r="G1997" s="661">
        <v>111</v>
      </c>
      <c r="H1997" s="633">
        <v>2251</v>
      </c>
      <c r="I1997" s="618"/>
      <c r="J1997" s="619" t="s">
        <v>2824</v>
      </c>
      <c r="K1997" s="618"/>
      <c r="L1997" s="619">
        <v>81</v>
      </c>
      <c r="M1997" s="620">
        <v>76</v>
      </c>
      <c r="N1997" s="619"/>
      <c r="O1997" s="619">
        <v>14</v>
      </c>
      <c r="P1997" s="619" t="s">
        <v>760</v>
      </c>
      <c r="Q1997" s="662" t="s">
        <v>1002</v>
      </c>
      <c r="R1997" s="618"/>
      <c r="S1997" s="621" t="s">
        <v>2826</v>
      </c>
      <c r="T1997" s="619" t="s">
        <v>2827</v>
      </c>
    </row>
    <row r="1998" spans="1:20">
      <c r="A1998" s="630">
        <v>1122252</v>
      </c>
      <c r="B1998" s="628"/>
      <c r="C1998" s="623"/>
      <c r="D1998" s="623"/>
      <c r="E1998" s="627" t="s">
        <v>2828</v>
      </c>
      <c r="F1998" s="631" t="s">
        <v>2829</v>
      </c>
      <c r="G1998" s="661">
        <v>112</v>
      </c>
      <c r="H1998" s="633">
        <v>2252</v>
      </c>
      <c r="I1998" s="618"/>
      <c r="J1998" s="619" t="s">
        <v>2828</v>
      </c>
      <c r="K1998" s="618"/>
      <c r="L1998" s="619">
        <v>82</v>
      </c>
      <c r="M1998" s="620">
        <v>77</v>
      </c>
      <c r="N1998" s="619"/>
      <c r="O1998" s="619">
        <v>14</v>
      </c>
      <c r="P1998" s="619" t="s">
        <v>760</v>
      </c>
      <c r="Q1998" s="662" t="s">
        <v>1002</v>
      </c>
      <c r="R1998" s="618"/>
      <c r="S1998" s="621" t="s">
        <v>2826</v>
      </c>
      <c r="T1998" s="619" t="s">
        <v>2830</v>
      </c>
    </row>
    <row r="1999" spans="1:20">
      <c r="A1999" s="630">
        <v>1132252</v>
      </c>
      <c r="B1999" s="628"/>
      <c r="C1999" s="623"/>
      <c r="D1999" s="623"/>
      <c r="E1999" s="627" t="s">
        <v>2831</v>
      </c>
      <c r="F1999" s="631" t="s">
        <v>2832</v>
      </c>
      <c r="G1999" s="661">
        <v>113</v>
      </c>
      <c r="H1999" s="633">
        <v>2252</v>
      </c>
      <c r="I1999" s="618"/>
      <c r="J1999" s="619" t="s">
        <v>2831</v>
      </c>
      <c r="K1999" s="618"/>
      <c r="L1999" s="619">
        <v>83</v>
      </c>
      <c r="M1999" s="620">
        <v>78</v>
      </c>
      <c r="N1999" s="619"/>
      <c r="O1999" s="619">
        <v>14</v>
      </c>
      <c r="P1999" s="619" t="s">
        <v>760</v>
      </c>
      <c r="Q1999" s="662" t="s">
        <v>1002</v>
      </c>
      <c r="R1999" s="618"/>
      <c r="S1999" s="621" t="s">
        <v>2826</v>
      </c>
      <c r="T1999" s="619" t="s">
        <v>2833</v>
      </c>
    </row>
    <row r="2000" spans="1:20">
      <c r="A2000" s="630">
        <v>1142252</v>
      </c>
      <c r="B2000" s="628"/>
      <c r="C2000" s="623"/>
      <c r="D2000" s="623"/>
      <c r="E2000" s="627" t="s">
        <v>2834</v>
      </c>
      <c r="F2000" s="631" t="s">
        <v>2835</v>
      </c>
      <c r="G2000" s="661">
        <v>114</v>
      </c>
      <c r="H2000" s="633">
        <v>2252</v>
      </c>
      <c r="I2000" s="618"/>
      <c r="J2000" s="619" t="s">
        <v>2834</v>
      </c>
      <c r="K2000" s="618"/>
      <c r="L2000" s="619">
        <v>84</v>
      </c>
      <c r="M2000" s="620">
        <v>79</v>
      </c>
      <c r="N2000" s="619"/>
      <c r="O2000" s="619">
        <v>14</v>
      </c>
      <c r="P2000" s="619" t="s">
        <v>760</v>
      </c>
      <c r="Q2000" s="662" t="s">
        <v>1002</v>
      </c>
      <c r="R2000" s="618"/>
      <c r="S2000" s="621" t="s">
        <v>2826</v>
      </c>
      <c r="T2000" s="619" t="s">
        <v>1853</v>
      </c>
    </row>
    <row r="2001" spans="1:20">
      <c r="A2001" s="630">
        <v>1152252</v>
      </c>
      <c r="B2001" s="628"/>
      <c r="C2001" s="623"/>
      <c r="D2001" s="623"/>
      <c r="E2001" s="627" t="s">
        <v>2836</v>
      </c>
      <c r="F2001" s="631" t="s">
        <v>2837</v>
      </c>
      <c r="G2001" s="661">
        <v>115</v>
      </c>
      <c r="H2001" s="633">
        <v>2252</v>
      </c>
      <c r="I2001" s="618"/>
      <c r="J2001" s="619" t="s">
        <v>2836</v>
      </c>
      <c r="K2001" s="618"/>
      <c r="L2001" s="619">
        <v>86</v>
      </c>
      <c r="M2001" s="620">
        <v>81</v>
      </c>
      <c r="N2001" s="619"/>
      <c r="O2001" s="619">
        <v>14</v>
      </c>
      <c r="P2001" s="619" t="s">
        <v>760</v>
      </c>
      <c r="Q2001" s="662" t="s">
        <v>1002</v>
      </c>
      <c r="R2001" s="618"/>
      <c r="S2001" s="621" t="s">
        <v>2826</v>
      </c>
      <c r="T2001" s="619" t="s">
        <v>2838</v>
      </c>
    </row>
    <row r="2002" spans="1:20">
      <c r="A2002" s="630">
        <v>1002252</v>
      </c>
      <c r="B2002" s="628"/>
      <c r="C2002" s="623"/>
      <c r="D2002" s="623"/>
      <c r="E2002" s="627" t="s">
        <v>2839</v>
      </c>
      <c r="F2002" s="631" t="s">
        <v>2840</v>
      </c>
      <c r="G2002" s="661">
        <v>100</v>
      </c>
      <c r="H2002" s="633">
        <v>2252</v>
      </c>
      <c r="I2002" s="618"/>
      <c r="J2002" s="619" t="s">
        <v>2839</v>
      </c>
      <c r="K2002" s="618"/>
      <c r="L2002" s="619">
        <v>86</v>
      </c>
      <c r="M2002" s="620">
        <v>81</v>
      </c>
      <c r="N2002" s="619"/>
      <c r="O2002" s="619">
        <v>14</v>
      </c>
      <c r="P2002" s="619" t="s">
        <v>760</v>
      </c>
      <c r="Q2002" s="662" t="s">
        <v>1002</v>
      </c>
      <c r="R2002" s="618"/>
      <c r="S2002" s="621" t="s">
        <v>2826</v>
      </c>
      <c r="T2002" s="619" t="s">
        <v>1946</v>
      </c>
    </row>
    <row r="2003" spans="1:20">
      <c r="A2003" s="630">
        <v>1402252</v>
      </c>
      <c r="B2003" s="628"/>
      <c r="C2003" s="623"/>
      <c r="D2003" s="623"/>
      <c r="E2003" s="627" t="s">
        <v>2841</v>
      </c>
      <c r="F2003" s="631" t="s">
        <v>2842</v>
      </c>
      <c r="G2003" s="661">
        <v>140</v>
      </c>
      <c r="H2003" s="633">
        <v>2252</v>
      </c>
      <c r="I2003" s="618"/>
      <c r="J2003" s="619" t="s">
        <v>2841</v>
      </c>
      <c r="K2003" s="618"/>
      <c r="L2003" s="619">
        <v>86</v>
      </c>
      <c r="M2003" s="620">
        <v>81</v>
      </c>
      <c r="N2003" s="619"/>
      <c r="O2003" s="619">
        <v>14</v>
      </c>
      <c r="P2003" s="619" t="s">
        <v>760</v>
      </c>
      <c r="Q2003" s="662" t="s">
        <v>1002</v>
      </c>
      <c r="R2003" s="618"/>
      <c r="S2003" s="621" t="s">
        <v>2826</v>
      </c>
      <c r="T2003" s="619" t="s">
        <v>1017</v>
      </c>
    </row>
    <row r="2004" spans="1:20">
      <c r="A2004" s="630">
        <v>3002252</v>
      </c>
      <c r="B2004" s="628"/>
      <c r="C2004" s="623"/>
      <c r="D2004" s="623"/>
      <c r="E2004" s="627" t="s">
        <v>2563</v>
      </c>
      <c r="F2004" s="631" t="s">
        <v>2843</v>
      </c>
      <c r="G2004" s="661">
        <v>300</v>
      </c>
      <c r="H2004" s="633">
        <v>2252</v>
      </c>
      <c r="I2004" s="618"/>
      <c r="J2004" s="619" t="s">
        <v>2563</v>
      </c>
      <c r="K2004" s="618"/>
      <c r="L2004" s="619">
        <v>101</v>
      </c>
      <c r="M2004" s="620">
        <v>96</v>
      </c>
      <c r="N2004" s="619"/>
      <c r="O2004" s="619">
        <v>14</v>
      </c>
      <c r="P2004" s="619" t="s">
        <v>760</v>
      </c>
      <c r="Q2004" s="662"/>
      <c r="R2004" s="618"/>
      <c r="S2004" s="621" t="s">
        <v>2826</v>
      </c>
      <c r="T2004" s="619" t="s">
        <v>2565</v>
      </c>
    </row>
    <row r="2005" spans="1:20">
      <c r="A2005" s="622"/>
      <c r="B2005" s="628"/>
      <c r="C2005" s="623"/>
      <c r="D2005" s="623"/>
      <c r="E2005" s="627" t="s">
        <v>2230</v>
      </c>
      <c r="F2005" s="626"/>
      <c r="G2005" s="623"/>
      <c r="H2005" s="627"/>
      <c r="I2005" s="618"/>
      <c r="J2005" s="618"/>
      <c r="K2005" s="618"/>
      <c r="L2005" s="618"/>
      <c r="M2005" s="618"/>
      <c r="N2005" s="618"/>
      <c r="O2005" s="618"/>
      <c r="P2005" s="618"/>
      <c r="Q2005" s="662"/>
      <c r="R2005" s="618"/>
      <c r="S2005" s="621"/>
      <c r="T2005" s="618"/>
    </row>
    <row r="2006" spans="1:20">
      <c r="A2006" s="630">
        <v>4302252</v>
      </c>
      <c r="B2006" s="628"/>
      <c r="C2006" s="623"/>
      <c r="D2006" s="623"/>
      <c r="E2006" s="627" t="s">
        <v>2231</v>
      </c>
      <c r="F2006" s="631" t="s">
        <v>2844</v>
      </c>
      <c r="G2006" s="661">
        <v>430</v>
      </c>
      <c r="H2006" s="633">
        <v>2252</v>
      </c>
      <c r="I2006" s="618"/>
      <c r="J2006" s="619" t="s">
        <v>2231</v>
      </c>
      <c r="K2006" s="618"/>
      <c r="L2006" s="619">
        <v>107</v>
      </c>
      <c r="M2006" s="620">
        <v>102</v>
      </c>
      <c r="N2006" s="619"/>
      <c r="O2006" s="619">
        <v>14</v>
      </c>
      <c r="P2006" s="619" t="s">
        <v>760</v>
      </c>
      <c r="Q2006" s="662"/>
      <c r="R2006" s="618"/>
      <c r="S2006" s="621" t="s">
        <v>2826</v>
      </c>
      <c r="T2006" s="619" t="s">
        <v>1021</v>
      </c>
    </row>
    <row r="2007" spans="1:20">
      <c r="A2007" s="630">
        <v>4422252</v>
      </c>
      <c r="B2007" s="628"/>
      <c r="C2007" s="623"/>
      <c r="D2007" s="623"/>
      <c r="E2007" s="627" t="s">
        <v>2233</v>
      </c>
      <c r="F2007" s="631" t="s">
        <v>2845</v>
      </c>
      <c r="G2007" s="661">
        <v>442</v>
      </c>
      <c r="H2007" s="633">
        <v>2252</v>
      </c>
      <c r="I2007" s="618"/>
      <c r="J2007" s="619" t="s">
        <v>2233</v>
      </c>
      <c r="K2007" s="618"/>
      <c r="L2007" s="619">
        <v>106</v>
      </c>
      <c r="M2007" s="620">
        <v>101</v>
      </c>
      <c r="N2007" s="619"/>
      <c r="O2007" s="619">
        <v>14</v>
      </c>
      <c r="P2007" s="619" t="s">
        <v>760</v>
      </c>
      <c r="Q2007" s="662"/>
      <c r="R2007" s="618"/>
      <c r="S2007" s="621" t="s">
        <v>2826</v>
      </c>
      <c r="T2007" s="619" t="s">
        <v>1023</v>
      </c>
    </row>
    <row r="2008" spans="1:20">
      <c r="A2008" s="630">
        <v>4002252</v>
      </c>
      <c r="B2008" s="628"/>
      <c r="C2008" s="623"/>
      <c r="D2008" s="623"/>
      <c r="E2008" s="627" t="s">
        <v>2235</v>
      </c>
      <c r="F2008" s="631" t="s">
        <v>2846</v>
      </c>
      <c r="G2008" s="661">
        <v>400</v>
      </c>
      <c r="H2008" s="633">
        <v>2252</v>
      </c>
      <c r="I2008" s="618"/>
      <c r="J2008" s="619" t="s">
        <v>2235</v>
      </c>
      <c r="K2008" s="618"/>
      <c r="L2008" s="619">
        <v>108</v>
      </c>
      <c r="M2008" s="620">
        <v>103</v>
      </c>
      <c r="N2008" s="619"/>
      <c r="O2008" s="619">
        <v>14</v>
      </c>
      <c r="P2008" s="619" t="s">
        <v>760</v>
      </c>
      <c r="Q2008" s="662"/>
      <c r="R2008" s="618"/>
      <c r="S2008" s="621" t="s">
        <v>2826</v>
      </c>
      <c r="T2008" s="619" t="s">
        <v>2237</v>
      </c>
    </row>
    <row r="2009" spans="1:20">
      <c r="A2009" s="622"/>
      <c r="B2009" s="628"/>
      <c r="C2009" s="623"/>
      <c r="D2009" s="623"/>
      <c r="E2009" s="627" t="s">
        <v>1394</v>
      </c>
      <c r="F2009" s="626"/>
      <c r="G2009" s="623"/>
      <c r="H2009" s="627"/>
      <c r="I2009" s="618"/>
      <c r="J2009" s="618"/>
      <c r="K2009" s="618"/>
      <c r="L2009" s="618"/>
      <c r="M2009" s="618"/>
      <c r="N2009" s="618"/>
      <c r="O2009" s="618"/>
      <c r="P2009" s="618"/>
      <c r="Q2009" s="662"/>
      <c r="R2009" s="618"/>
      <c r="S2009" s="621"/>
      <c r="T2009" s="618"/>
    </row>
    <row r="2010" spans="1:20">
      <c r="A2010" s="630">
        <v>5822252</v>
      </c>
      <c r="B2010" s="628"/>
      <c r="C2010" s="623"/>
      <c r="D2010" s="623"/>
      <c r="E2010" s="627" t="s">
        <v>2238</v>
      </c>
      <c r="F2010" s="631" t="s">
        <v>2847</v>
      </c>
      <c r="G2010" s="661">
        <v>582</v>
      </c>
      <c r="H2010" s="633">
        <v>2252</v>
      </c>
      <c r="I2010" s="618"/>
      <c r="J2010" s="619" t="s">
        <v>2238</v>
      </c>
      <c r="K2010" s="618"/>
      <c r="L2010" s="619">
        <v>118</v>
      </c>
      <c r="M2010" s="620">
        <v>109</v>
      </c>
      <c r="N2010" s="619"/>
      <c r="O2010" s="619">
        <v>14</v>
      </c>
      <c r="P2010" s="619" t="s">
        <v>760</v>
      </c>
      <c r="Q2010" s="662"/>
      <c r="R2010" s="618"/>
      <c r="S2010" s="621" t="s">
        <v>2826</v>
      </c>
      <c r="T2010" s="619" t="s">
        <v>1037</v>
      </c>
    </row>
    <row r="2011" spans="1:20">
      <c r="A2011" s="630">
        <v>5002252</v>
      </c>
      <c r="B2011" s="628"/>
      <c r="C2011" s="623"/>
      <c r="D2011" s="623"/>
      <c r="E2011" s="627" t="s">
        <v>2240</v>
      </c>
      <c r="F2011" s="631" t="s">
        <v>2848</v>
      </c>
      <c r="G2011" s="661">
        <v>500</v>
      </c>
      <c r="H2011" s="633">
        <v>2252</v>
      </c>
      <c r="I2011" s="618"/>
      <c r="J2011" s="619" t="s">
        <v>2240</v>
      </c>
      <c r="K2011" s="618"/>
      <c r="L2011" s="619">
        <v>119</v>
      </c>
      <c r="M2011" s="620">
        <v>110</v>
      </c>
      <c r="N2011" s="619"/>
      <c r="O2011" s="619">
        <v>14</v>
      </c>
      <c r="P2011" s="619" t="s">
        <v>760</v>
      </c>
      <c r="Q2011" s="662"/>
      <c r="R2011" s="618"/>
      <c r="S2011" s="621" t="s">
        <v>2826</v>
      </c>
      <c r="T2011" s="619" t="s">
        <v>252</v>
      </c>
    </row>
    <row r="2012" spans="1:20">
      <c r="A2012" s="622"/>
      <c r="B2012" s="628"/>
      <c r="C2012" s="623"/>
      <c r="D2012" s="623"/>
      <c r="E2012" s="627" t="s">
        <v>2242</v>
      </c>
      <c r="F2012" s="626"/>
      <c r="G2012" s="623"/>
      <c r="H2012" s="627"/>
      <c r="I2012" s="618"/>
      <c r="J2012" s="618"/>
      <c r="K2012" s="618"/>
      <c r="L2012" s="618"/>
      <c r="M2012" s="618"/>
      <c r="N2012" s="618"/>
      <c r="O2012" s="618"/>
      <c r="P2012" s="618"/>
      <c r="Q2012" s="662"/>
      <c r="R2012" s="618"/>
      <c r="S2012" s="621"/>
      <c r="T2012" s="618"/>
    </row>
    <row r="2013" spans="1:20">
      <c r="A2013" s="630">
        <v>6152252</v>
      </c>
      <c r="B2013" s="628"/>
      <c r="C2013" s="623"/>
      <c r="D2013" s="623"/>
      <c r="E2013" s="627" t="s">
        <v>2243</v>
      </c>
      <c r="F2013" s="631" t="s">
        <v>2849</v>
      </c>
      <c r="G2013" s="661">
        <v>615</v>
      </c>
      <c r="H2013" s="633">
        <v>2252</v>
      </c>
      <c r="I2013" s="618"/>
      <c r="J2013" s="619" t="s">
        <v>2243</v>
      </c>
      <c r="K2013" s="618"/>
      <c r="L2013" s="619">
        <v>126</v>
      </c>
      <c r="M2013" s="620">
        <v>117</v>
      </c>
      <c r="N2013" s="619"/>
      <c r="O2013" s="619">
        <v>14</v>
      </c>
      <c r="P2013" s="619" t="s">
        <v>760</v>
      </c>
      <c r="Q2013" s="662" t="s">
        <v>1043</v>
      </c>
      <c r="R2013" s="618"/>
      <c r="S2013" s="621" t="s">
        <v>2826</v>
      </c>
      <c r="T2013" s="619" t="s">
        <v>1041</v>
      </c>
    </row>
    <row r="2014" spans="1:20">
      <c r="A2014" s="630">
        <v>6102252</v>
      </c>
      <c r="B2014" s="628"/>
      <c r="C2014" s="623"/>
      <c r="D2014" s="623"/>
      <c r="E2014" s="627" t="s">
        <v>2245</v>
      </c>
      <c r="F2014" s="631" t="s">
        <v>2850</v>
      </c>
      <c r="G2014" s="661">
        <v>610</v>
      </c>
      <c r="H2014" s="633">
        <v>2252</v>
      </c>
      <c r="I2014" s="618"/>
      <c r="J2014" s="619" t="s">
        <v>2245</v>
      </c>
      <c r="K2014" s="618"/>
      <c r="L2014" s="619">
        <v>122</v>
      </c>
      <c r="M2014" s="620">
        <v>113</v>
      </c>
      <c r="N2014" s="619"/>
      <c r="O2014" s="619">
        <v>14</v>
      </c>
      <c r="P2014" s="619" t="s">
        <v>760</v>
      </c>
      <c r="Q2014" s="662" t="s">
        <v>1043</v>
      </c>
      <c r="R2014" s="618"/>
      <c r="S2014" s="621" t="s">
        <v>2826</v>
      </c>
      <c r="T2014" s="619" t="s">
        <v>39</v>
      </c>
    </row>
    <row r="2015" spans="1:20">
      <c r="A2015" s="630">
        <v>6402252</v>
      </c>
      <c r="B2015" s="628"/>
      <c r="C2015" s="623"/>
      <c r="D2015" s="623"/>
      <c r="E2015" s="627" t="s">
        <v>2851</v>
      </c>
      <c r="F2015" s="631" t="s">
        <v>2852</v>
      </c>
      <c r="G2015" s="661">
        <v>640</v>
      </c>
      <c r="H2015" s="633">
        <v>2252</v>
      </c>
      <c r="I2015" s="618"/>
      <c r="J2015" s="619" t="s">
        <v>2851</v>
      </c>
      <c r="K2015" s="618"/>
      <c r="L2015" s="619">
        <v>125</v>
      </c>
      <c r="M2015" s="620">
        <v>116</v>
      </c>
      <c r="N2015" s="619"/>
      <c r="O2015" s="619">
        <v>14</v>
      </c>
      <c r="P2015" s="619" t="s">
        <v>760</v>
      </c>
      <c r="Q2015" s="662" t="s">
        <v>1043</v>
      </c>
      <c r="R2015" s="618"/>
      <c r="S2015" s="621" t="s">
        <v>2826</v>
      </c>
      <c r="T2015" s="619" t="s">
        <v>2528</v>
      </c>
    </row>
    <row r="2016" spans="1:20">
      <c r="A2016" s="630">
        <v>6002252</v>
      </c>
      <c r="B2016" s="628"/>
      <c r="C2016" s="623"/>
      <c r="D2016" s="623"/>
      <c r="E2016" s="627" t="s">
        <v>2853</v>
      </c>
      <c r="F2016" s="631" t="s">
        <v>2854</v>
      </c>
      <c r="G2016" s="661">
        <v>600</v>
      </c>
      <c r="H2016" s="633">
        <v>2252</v>
      </c>
      <c r="I2016" s="618"/>
      <c r="J2016" s="619" t="s">
        <v>2853</v>
      </c>
      <c r="K2016" s="618"/>
      <c r="L2016" s="619">
        <v>126</v>
      </c>
      <c r="M2016" s="620">
        <v>117</v>
      </c>
      <c r="N2016" s="619"/>
      <c r="O2016" s="619">
        <v>14</v>
      </c>
      <c r="P2016" s="619" t="s">
        <v>760</v>
      </c>
      <c r="Q2016" s="662"/>
      <c r="R2016" s="618"/>
      <c r="S2016" s="621" t="s">
        <v>2826</v>
      </c>
      <c r="T2016" s="619" t="s">
        <v>1048</v>
      </c>
    </row>
    <row r="2017" spans="1:20">
      <c r="A2017" s="622"/>
      <c r="B2017" s="628"/>
      <c r="C2017" s="623"/>
      <c r="D2017" s="623"/>
      <c r="E2017" s="627" t="s">
        <v>2249</v>
      </c>
      <c r="F2017" s="626"/>
      <c r="G2017" s="623"/>
      <c r="H2017" s="627"/>
      <c r="I2017" s="618"/>
      <c r="J2017" s="618"/>
      <c r="K2017" s="618"/>
      <c r="L2017" s="618"/>
      <c r="M2017" s="618"/>
      <c r="N2017" s="618"/>
      <c r="O2017" s="618"/>
      <c r="P2017" s="618"/>
      <c r="Q2017" s="662"/>
      <c r="R2017" s="618"/>
      <c r="S2017" s="621"/>
      <c r="T2017" s="618"/>
    </row>
    <row r="2018" spans="1:20">
      <c r="A2018" s="630">
        <v>7342252</v>
      </c>
      <c r="B2018" s="628"/>
      <c r="C2018" s="623"/>
      <c r="D2018" s="623"/>
      <c r="E2018" s="627" t="s">
        <v>2250</v>
      </c>
      <c r="F2018" s="631" t="s">
        <v>2855</v>
      </c>
      <c r="G2018" s="661">
        <v>734</v>
      </c>
      <c r="H2018" s="633">
        <v>2252</v>
      </c>
      <c r="I2018" s="618"/>
      <c r="J2018" s="619" t="s">
        <v>2250</v>
      </c>
      <c r="K2018" s="618"/>
      <c r="L2018" s="619">
        <v>131</v>
      </c>
      <c r="M2018" s="620">
        <v>122</v>
      </c>
      <c r="N2018" s="619"/>
      <c r="O2018" s="619">
        <v>14</v>
      </c>
      <c r="P2018" s="619" t="s">
        <v>760</v>
      </c>
      <c r="Q2018" s="662"/>
      <c r="R2018" s="618"/>
      <c r="S2018" s="621" t="s">
        <v>2826</v>
      </c>
      <c r="T2018" s="619" t="s">
        <v>1051</v>
      </c>
    </row>
    <row r="2019" spans="1:20">
      <c r="A2019" s="630">
        <v>7352252</v>
      </c>
      <c r="B2019" s="628"/>
      <c r="C2019" s="623"/>
      <c r="D2019" s="623"/>
      <c r="E2019" s="627" t="s">
        <v>2252</v>
      </c>
      <c r="F2019" s="631" t="s">
        <v>2856</v>
      </c>
      <c r="G2019" s="661">
        <v>735</v>
      </c>
      <c r="H2019" s="633">
        <v>2252</v>
      </c>
      <c r="I2019" s="618"/>
      <c r="J2019" s="619" t="s">
        <v>2252</v>
      </c>
      <c r="K2019" s="618"/>
      <c r="L2019" s="619">
        <v>131</v>
      </c>
      <c r="M2019" s="620">
        <v>122</v>
      </c>
      <c r="N2019" s="619"/>
      <c r="O2019" s="619">
        <v>14</v>
      </c>
      <c r="P2019" s="619" t="s">
        <v>760</v>
      </c>
      <c r="Q2019" s="662"/>
      <c r="R2019" s="618"/>
      <c r="S2019" s="621" t="s">
        <v>2826</v>
      </c>
      <c r="T2019" s="619" t="s">
        <v>1053</v>
      </c>
    </row>
    <row r="2020" spans="1:20">
      <c r="A2020" s="630">
        <v>7302252</v>
      </c>
      <c r="B2020" s="628"/>
      <c r="C2020" s="623"/>
      <c r="D2020" s="623"/>
      <c r="E2020" s="627" t="s">
        <v>2254</v>
      </c>
      <c r="F2020" s="631" t="s">
        <v>2857</v>
      </c>
      <c r="G2020" s="661">
        <v>730</v>
      </c>
      <c r="H2020" s="633">
        <v>2252</v>
      </c>
      <c r="I2020" s="618"/>
      <c r="J2020" s="619" t="s">
        <v>2254</v>
      </c>
      <c r="K2020" s="618"/>
      <c r="L2020" s="619">
        <v>131</v>
      </c>
      <c r="M2020" s="620">
        <v>122</v>
      </c>
      <c r="N2020" s="619"/>
      <c r="O2020" s="619">
        <v>14</v>
      </c>
      <c r="P2020" s="619" t="s">
        <v>760</v>
      </c>
      <c r="Q2020" s="662"/>
      <c r="R2020" s="618"/>
      <c r="S2020" s="621" t="s">
        <v>2826</v>
      </c>
      <c r="T2020" s="619" t="s">
        <v>1055</v>
      </c>
    </row>
    <row r="2021" spans="1:20">
      <c r="A2021" s="630">
        <v>7002252</v>
      </c>
      <c r="B2021" s="628"/>
      <c r="C2021" s="623"/>
      <c r="D2021" s="623"/>
      <c r="E2021" s="627" t="s">
        <v>2256</v>
      </c>
      <c r="F2021" s="631" t="s">
        <v>2858</v>
      </c>
      <c r="G2021" s="661">
        <v>700</v>
      </c>
      <c r="H2021" s="633">
        <v>2252</v>
      </c>
      <c r="I2021" s="618"/>
      <c r="J2021" s="619" t="s">
        <v>2256</v>
      </c>
      <c r="K2021" s="618"/>
      <c r="L2021" s="619">
        <v>132</v>
      </c>
      <c r="M2021" s="620">
        <v>123</v>
      </c>
      <c r="N2021" s="619"/>
      <c r="O2021" s="619">
        <v>14</v>
      </c>
      <c r="P2021" s="619" t="s">
        <v>760</v>
      </c>
      <c r="Q2021" s="662"/>
      <c r="R2021" s="618"/>
      <c r="S2021" s="621" t="s">
        <v>2826</v>
      </c>
      <c r="T2021" s="619" t="s">
        <v>1057</v>
      </c>
    </row>
    <row r="2022" spans="1:20">
      <c r="A2022" s="622"/>
      <c r="B2022" s="628"/>
      <c r="C2022" s="623"/>
      <c r="D2022" s="623"/>
      <c r="E2022" s="627" t="s">
        <v>2258</v>
      </c>
      <c r="F2022" s="626"/>
      <c r="G2022" s="623"/>
      <c r="H2022" s="627"/>
      <c r="I2022" s="618"/>
      <c r="J2022" s="618"/>
      <c r="K2022" s="618"/>
      <c r="L2022" s="618"/>
      <c r="M2022" s="618"/>
      <c r="N2022" s="618"/>
      <c r="O2022" s="618"/>
      <c r="P2022" s="618"/>
      <c r="Q2022" s="662"/>
      <c r="R2022" s="618"/>
      <c r="S2022" s="621"/>
      <c r="T2022" s="618"/>
    </row>
    <row r="2023" spans="1:20">
      <c r="A2023" s="630">
        <v>8952252</v>
      </c>
      <c r="B2023" s="628"/>
      <c r="C2023" s="623"/>
      <c r="D2023" s="623"/>
      <c r="E2023" s="627" t="s">
        <v>2259</v>
      </c>
      <c r="F2023" s="631" t="s">
        <v>2859</v>
      </c>
      <c r="G2023" s="661">
        <v>895</v>
      </c>
      <c r="H2023" s="633">
        <v>2252</v>
      </c>
      <c r="I2023" s="618"/>
      <c r="J2023" s="619" t="s">
        <v>2259</v>
      </c>
      <c r="K2023" s="618"/>
      <c r="L2023" s="619">
        <v>139</v>
      </c>
      <c r="M2023" s="620">
        <v>129</v>
      </c>
      <c r="N2023" s="619"/>
      <c r="O2023" s="619">
        <v>14</v>
      </c>
      <c r="P2023" s="619" t="s">
        <v>760</v>
      </c>
      <c r="Q2023" s="662"/>
      <c r="R2023" s="618"/>
      <c r="S2023" s="621" t="s">
        <v>2826</v>
      </c>
      <c r="T2023" s="619" t="s">
        <v>2261</v>
      </c>
    </row>
    <row r="2024" spans="1:20">
      <c r="A2024" s="630">
        <v>8002252</v>
      </c>
      <c r="B2024" s="628"/>
      <c r="C2024" s="623"/>
      <c r="D2024" s="623"/>
      <c r="E2024" s="627" t="s">
        <v>2262</v>
      </c>
      <c r="F2024" s="631" t="s">
        <v>2860</v>
      </c>
      <c r="G2024" s="661">
        <v>800</v>
      </c>
      <c r="H2024" s="633">
        <v>2252</v>
      </c>
      <c r="I2024" s="618"/>
      <c r="J2024" s="619" t="s">
        <v>2262</v>
      </c>
      <c r="K2024" s="618"/>
      <c r="L2024" s="619">
        <v>139</v>
      </c>
      <c r="M2024" s="620">
        <v>129</v>
      </c>
      <c r="N2024" s="619"/>
      <c r="O2024" s="619">
        <v>14</v>
      </c>
      <c r="P2024" s="619" t="s">
        <v>760</v>
      </c>
      <c r="Q2024" s="662"/>
      <c r="R2024" s="618"/>
      <c r="S2024" s="621" t="s">
        <v>2826</v>
      </c>
      <c r="T2024" s="619" t="s">
        <v>1061</v>
      </c>
    </row>
    <row r="2025" spans="1:20">
      <c r="A2025" s="622"/>
      <c r="B2025" s="628"/>
      <c r="C2025" s="623"/>
      <c r="D2025" s="623" t="s">
        <v>775</v>
      </c>
      <c r="E2025" s="627" t="s">
        <v>2861</v>
      </c>
      <c r="F2025" s="626"/>
      <c r="G2025" s="623"/>
      <c r="H2025" s="627"/>
      <c r="I2025" s="618"/>
      <c r="J2025" s="618"/>
      <c r="K2025" s="618"/>
      <c r="L2025" s="618"/>
      <c r="M2025" s="618"/>
      <c r="N2025" s="618"/>
      <c r="O2025" s="618"/>
      <c r="P2025" s="618"/>
      <c r="Q2025" s="662"/>
      <c r="R2025" s="618"/>
      <c r="S2025" s="621"/>
      <c r="T2025" s="618"/>
    </row>
    <row r="2026" spans="1:20">
      <c r="A2026" s="622"/>
      <c r="B2026" s="628"/>
      <c r="C2026" s="623"/>
      <c r="D2026" s="623"/>
      <c r="E2026" s="627" t="s">
        <v>2678</v>
      </c>
      <c r="F2026" s="626"/>
      <c r="G2026" s="623"/>
      <c r="H2026" s="627"/>
      <c r="I2026" s="618"/>
      <c r="J2026" s="618"/>
      <c r="K2026" s="618"/>
      <c r="L2026" s="618"/>
      <c r="M2026" s="618"/>
      <c r="N2026" s="618"/>
      <c r="O2026" s="618"/>
      <c r="P2026" s="618"/>
      <c r="Q2026" s="662"/>
      <c r="R2026" s="618"/>
      <c r="S2026" s="621"/>
      <c r="T2026" s="618"/>
    </row>
    <row r="2027" spans="1:20">
      <c r="A2027" s="630">
        <v>1112259</v>
      </c>
      <c r="B2027" s="628"/>
      <c r="C2027" s="623"/>
      <c r="D2027" s="623"/>
      <c r="E2027" s="627" t="s">
        <v>2862</v>
      </c>
      <c r="F2027" s="631" t="s">
        <v>2863</v>
      </c>
      <c r="G2027" s="661">
        <v>111</v>
      </c>
      <c r="H2027" s="633">
        <v>2259</v>
      </c>
      <c r="I2027" s="618"/>
      <c r="J2027" s="619" t="s">
        <v>2862</v>
      </c>
      <c r="K2027" s="618"/>
      <c r="L2027" s="619">
        <v>81</v>
      </c>
      <c r="M2027" s="620">
        <v>76</v>
      </c>
      <c r="N2027" s="619"/>
      <c r="O2027" s="619">
        <v>14</v>
      </c>
      <c r="P2027" s="619" t="s">
        <v>760</v>
      </c>
      <c r="Q2027" s="662" t="s">
        <v>1002</v>
      </c>
      <c r="R2027" s="618"/>
      <c r="S2027" s="621" t="s">
        <v>2864</v>
      </c>
      <c r="T2027" s="619" t="s">
        <v>1847</v>
      </c>
    </row>
    <row r="2028" spans="1:20">
      <c r="A2028" s="630">
        <v>1122259</v>
      </c>
      <c r="B2028" s="628"/>
      <c r="C2028" s="623"/>
      <c r="D2028" s="623"/>
      <c r="E2028" s="627" t="s">
        <v>2865</v>
      </c>
      <c r="F2028" s="631" t="s">
        <v>2866</v>
      </c>
      <c r="G2028" s="661">
        <v>112</v>
      </c>
      <c r="H2028" s="633">
        <v>2259</v>
      </c>
      <c r="I2028" s="618"/>
      <c r="J2028" s="619" t="s">
        <v>2865</v>
      </c>
      <c r="K2028" s="618"/>
      <c r="L2028" s="619">
        <v>82</v>
      </c>
      <c r="M2028" s="620">
        <v>77</v>
      </c>
      <c r="N2028" s="619"/>
      <c r="O2028" s="619">
        <v>14</v>
      </c>
      <c r="P2028" s="619" t="s">
        <v>760</v>
      </c>
      <c r="Q2028" s="662" t="s">
        <v>1002</v>
      </c>
      <c r="R2028" s="618"/>
      <c r="S2028" s="621" t="s">
        <v>2864</v>
      </c>
      <c r="T2028" s="619" t="s">
        <v>2867</v>
      </c>
    </row>
    <row r="2029" spans="1:20">
      <c r="A2029" s="630">
        <v>1132259</v>
      </c>
      <c r="B2029" s="628"/>
      <c r="C2029" s="623"/>
      <c r="D2029" s="623"/>
      <c r="E2029" s="627" t="s">
        <v>2556</v>
      </c>
      <c r="F2029" s="631" t="s">
        <v>2868</v>
      </c>
      <c r="G2029" s="661">
        <v>113</v>
      </c>
      <c r="H2029" s="633">
        <v>2259</v>
      </c>
      <c r="I2029" s="618"/>
      <c r="J2029" s="619" t="s">
        <v>2556</v>
      </c>
      <c r="K2029" s="618"/>
      <c r="L2029" s="619">
        <v>83</v>
      </c>
      <c r="M2029" s="620">
        <v>78</v>
      </c>
      <c r="N2029" s="619"/>
      <c r="O2029" s="619">
        <v>14</v>
      </c>
      <c r="P2029" s="619" t="s">
        <v>760</v>
      </c>
      <c r="Q2029" s="662" t="s">
        <v>1002</v>
      </c>
      <c r="R2029" s="618"/>
      <c r="S2029" s="621" t="s">
        <v>2864</v>
      </c>
      <c r="T2029" s="619" t="s">
        <v>2220</v>
      </c>
    </row>
    <row r="2030" spans="1:20">
      <c r="A2030" s="630">
        <v>1142259</v>
      </c>
      <c r="B2030" s="628"/>
      <c r="C2030" s="623"/>
      <c r="D2030" s="623"/>
      <c r="E2030" s="627" t="s">
        <v>2834</v>
      </c>
      <c r="F2030" s="631" t="s">
        <v>2869</v>
      </c>
      <c r="G2030" s="661">
        <v>114</v>
      </c>
      <c r="H2030" s="633">
        <v>2259</v>
      </c>
      <c r="I2030" s="618"/>
      <c r="J2030" s="619" t="s">
        <v>2834</v>
      </c>
      <c r="K2030" s="618"/>
      <c r="L2030" s="619">
        <v>84</v>
      </c>
      <c r="M2030" s="620">
        <v>79</v>
      </c>
      <c r="N2030" s="619"/>
      <c r="O2030" s="619">
        <v>14</v>
      </c>
      <c r="P2030" s="619" t="s">
        <v>760</v>
      </c>
      <c r="Q2030" s="662" t="s">
        <v>1002</v>
      </c>
      <c r="R2030" s="618"/>
      <c r="S2030" s="621" t="s">
        <v>2864</v>
      </c>
      <c r="T2030" s="619" t="s">
        <v>1853</v>
      </c>
    </row>
    <row r="2031" spans="1:20">
      <c r="A2031" s="630">
        <v>1002259</v>
      </c>
      <c r="B2031" s="628"/>
      <c r="C2031" s="623"/>
      <c r="D2031" s="623"/>
      <c r="E2031" s="627" t="s">
        <v>2870</v>
      </c>
      <c r="F2031" s="631" t="s">
        <v>2871</v>
      </c>
      <c r="G2031" s="661">
        <v>100</v>
      </c>
      <c r="H2031" s="633">
        <v>2259</v>
      </c>
      <c r="I2031" s="618"/>
      <c r="J2031" s="619" t="s">
        <v>2870</v>
      </c>
      <c r="K2031" s="618"/>
      <c r="L2031" s="619">
        <v>86</v>
      </c>
      <c r="M2031" s="620">
        <v>81</v>
      </c>
      <c r="N2031" s="619"/>
      <c r="O2031" s="619">
        <v>14</v>
      </c>
      <c r="P2031" s="619" t="s">
        <v>760</v>
      </c>
      <c r="Q2031" s="662" t="s">
        <v>1002</v>
      </c>
      <c r="R2031" s="618"/>
      <c r="S2031" s="621" t="s">
        <v>2864</v>
      </c>
      <c r="T2031" s="619" t="s">
        <v>2872</v>
      </c>
    </row>
    <row r="2032" spans="1:20">
      <c r="A2032" s="630">
        <v>1402259</v>
      </c>
      <c r="B2032" s="628"/>
      <c r="C2032" s="623"/>
      <c r="D2032" s="623"/>
      <c r="E2032" s="627" t="s">
        <v>2873</v>
      </c>
      <c r="F2032" s="631" t="s">
        <v>2874</v>
      </c>
      <c r="G2032" s="661">
        <v>140</v>
      </c>
      <c r="H2032" s="633">
        <v>2259</v>
      </c>
      <c r="I2032" s="618"/>
      <c r="J2032" s="619" t="s">
        <v>2873</v>
      </c>
      <c r="K2032" s="618"/>
      <c r="L2032" s="619">
        <v>86</v>
      </c>
      <c r="M2032" s="620">
        <v>81</v>
      </c>
      <c r="N2032" s="619"/>
      <c r="O2032" s="619">
        <v>14</v>
      </c>
      <c r="P2032" s="619" t="s">
        <v>760</v>
      </c>
      <c r="Q2032" s="662" t="s">
        <v>1002</v>
      </c>
      <c r="R2032" s="618"/>
      <c r="S2032" s="621" t="s">
        <v>2864</v>
      </c>
      <c r="T2032" s="619" t="s">
        <v>1017</v>
      </c>
    </row>
    <row r="2033" spans="1:20">
      <c r="A2033" s="630">
        <v>3002259</v>
      </c>
      <c r="B2033" s="628"/>
      <c r="C2033" s="623"/>
      <c r="D2033" s="623"/>
      <c r="E2033" s="627" t="s">
        <v>2563</v>
      </c>
      <c r="F2033" s="631" t="s">
        <v>2875</v>
      </c>
      <c r="G2033" s="661">
        <v>300</v>
      </c>
      <c r="H2033" s="633">
        <v>2259</v>
      </c>
      <c r="I2033" s="618"/>
      <c r="J2033" s="619" t="s">
        <v>2563</v>
      </c>
      <c r="K2033" s="618"/>
      <c r="L2033" s="619">
        <v>101</v>
      </c>
      <c r="M2033" s="620">
        <v>96</v>
      </c>
      <c r="N2033" s="619"/>
      <c r="O2033" s="619">
        <v>14</v>
      </c>
      <c r="P2033" s="619" t="s">
        <v>760</v>
      </c>
      <c r="Q2033" s="662"/>
      <c r="R2033" s="618"/>
      <c r="S2033" s="621" t="s">
        <v>2864</v>
      </c>
      <c r="T2033" s="619" t="s">
        <v>2565</v>
      </c>
    </row>
    <row r="2034" spans="1:20">
      <c r="A2034" s="622"/>
      <c r="B2034" s="628"/>
      <c r="C2034" s="623"/>
      <c r="D2034" s="623"/>
      <c r="E2034" s="627" t="s">
        <v>2230</v>
      </c>
      <c r="F2034" s="626"/>
      <c r="G2034" s="623"/>
      <c r="H2034" s="627"/>
      <c r="I2034" s="618"/>
      <c r="J2034" s="618"/>
      <c r="K2034" s="618"/>
      <c r="L2034" s="618"/>
      <c r="M2034" s="618"/>
      <c r="N2034" s="618"/>
      <c r="O2034" s="618"/>
      <c r="P2034" s="618"/>
      <c r="Q2034" s="662"/>
      <c r="R2034" s="618"/>
      <c r="S2034" s="621"/>
      <c r="T2034" s="618"/>
    </row>
    <row r="2035" spans="1:20">
      <c r="A2035" s="630">
        <v>4302259</v>
      </c>
      <c r="B2035" s="628"/>
      <c r="C2035" s="623"/>
      <c r="D2035" s="623"/>
      <c r="E2035" s="627" t="s">
        <v>2231</v>
      </c>
      <c r="F2035" s="631" t="s">
        <v>2876</v>
      </c>
      <c r="G2035" s="661">
        <v>430</v>
      </c>
      <c r="H2035" s="633">
        <v>2259</v>
      </c>
      <c r="I2035" s="618"/>
      <c r="J2035" s="619" t="s">
        <v>2231</v>
      </c>
      <c r="K2035" s="618"/>
      <c r="L2035" s="619">
        <v>107</v>
      </c>
      <c r="M2035" s="620">
        <v>102</v>
      </c>
      <c r="N2035" s="619"/>
      <c r="O2035" s="619">
        <v>14</v>
      </c>
      <c r="P2035" s="619" t="s">
        <v>760</v>
      </c>
      <c r="Q2035" s="662"/>
      <c r="R2035" s="618"/>
      <c r="S2035" s="621" t="s">
        <v>2864</v>
      </c>
      <c r="T2035" s="619" t="s">
        <v>1021</v>
      </c>
    </row>
    <row r="2036" spans="1:20">
      <c r="A2036" s="630">
        <v>4422259</v>
      </c>
      <c r="B2036" s="628"/>
      <c r="C2036" s="623"/>
      <c r="D2036" s="623"/>
      <c r="E2036" s="627" t="s">
        <v>2233</v>
      </c>
      <c r="F2036" s="631" t="s">
        <v>2877</v>
      </c>
      <c r="G2036" s="661">
        <v>442</v>
      </c>
      <c r="H2036" s="633">
        <v>2259</v>
      </c>
      <c r="I2036" s="618"/>
      <c r="J2036" s="619" t="s">
        <v>2233</v>
      </c>
      <c r="K2036" s="618"/>
      <c r="L2036" s="619">
        <v>106</v>
      </c>
      <c r="M2036" s="620">
        <v>101</v>
      </c>
      <c r="N2036" s="619"/>
      <c r="O2036" s="619">
        <v>14</v>
      </c>
      <c r="P2036" s="619" t="s">
        <v>760</v>
      </c>
      <c r="Q2036" s="662"/>
      <c r="R2036" s="618"/>
      <c r="S2036" s="621" t="s">
        <v>2864</v>
      </c>
      <c r="T2036" s="619" t="s">
        <v>1023</v>
      </c>
    </row>
    <row r="2037" spans="1:20">
      <c r="A2037" s="630">
        <v>4002259</v>
      </c>
      <c r="B2037" s="628"/>
      <c r="C2037" s="623"/>
      <c r="D2037" s="623"/>
      <c r="E2037" s="627" t="s">
        <v>2235</v>
      </c>
      <c r="F2037" s="631" t="s">
        <v>2878</v>
      </c>
      <c r="G2037" s="661">
        <v>400</v>
      </c>
      <c r="H2037" s="633">
        <v>2259</v>
      </c>
      <c r="I2037" s="618"/>
      <c r="J2037" s="619" t="s">
        <v>2235</v>
      </c>
      <c r="K2037" s="618"/>
      <c r="L2037" s="619">
        <v>108</v>
      </c>
      <c r="M2037" s="620">
        <v>103</v>
      </c>
      <c r="N2037" s="619"/>
      <c r="O2037" s="619">
        <v>14</v>
      </c>
      <c r="P2037" s="619" t="s">
        <v>760</v>
      </c>
      <c r="Q2037" s="662"/>
      <c r="R2037" s="618"/>
      <c r="S2037" s="621" t="s">
        <v>2864</v>
      </c>
      <c r="T2037" s="619" t="s">
        <v>2237</v>
      </c>
    </row>
    <row r="2038" spans="1:20">
      <c r="A2038" s="622"/>
      <c r="B2038" s="628"/>
      <c r="C2038" s="623"/>
      <c r="D2038" s="623"/>
      <c r="E2038" s="627" t="s">
        <v>1394</v>
      </c>
      <c r="F2038" s="626"/>
      <c r="G2038" s="623"/>
      <c r="H2038" s="627"/>
      <c r="I2038" s="618"/>
      <c r="J2038" s="618"/>
      <c r="K2038" s="618"/>
      <c r="L2038" s="618"/>
      <c r="M2038" s="618"/>
      <c r="N2038" s="618"/>
      <c r="O2038" s="618"/>
      <c r="P2038" s="618"/>
      <c r="Q2038" s="662"/>
      <c r="R2038" s="618"/>
      <c r="S2038" s="621"/>
      <c r="T2038" s="618"/>
    </row>
    <row r="2039" spans="1:20">
      <c r="A2039" s="630">
        <v>5822259</v>
      </c>
      <c r="B2039" s="628"/>
      <c r="C2039" s="623"/>
      <c r="D2039" s="623"/>
      <c r="E2039" s="627" t="s">
        <v>2238</v>
      </c>
      <c r="F2039" s="631" t="s">
        <v>2879</v>
      </c>
      <c r="G2039" s="661">
        <v>582</v>
      </c>
      <c r="H2039" s="633">
        <v>2259</v>
      </c>
      <c r="I2039" s="618"/>
      <c r="J2039" s="619" t="s">
        <v>2238</v>
      </c>
      <c r="K2039" s="618"/>
      <c r="L2039" s="619">
        <v>118</v>
      </c>
      <c r="M2039" s="620">
        <v>109</v>
      </c>
      <c r="N2039" s="619"/>
      <c r="O2039" s="619">
        <v>14</v>
      </c>
      <c r="P2039" s="619" t="s">
        <v>760</v>
      </c>
      <c r="Q2039" s="662"/>
      <c r="R2039" s="618"/>
      <c r="S2039" s="621" t="s">
        <v>2864</v>
      </c>
      <c r="T2039" s="619" t="s">
        <v>1037</v>
      </c>
    </row>
    <row r="2040" spans="1:20">
      <c r="A2040" s="630">
        <v>5002259</v>
      </c>
      <c r="B2040" s="628"/>
      <c r="C2040" s="623"/>
      <c r="D2040" s="623"/>
      <c r="E2040" s="627" t="s">
        <v>2240</v>
      </c>
      <c r="F2040" s="631" t="s">
        <v>2880</v>
      </c>
      <c r="G2040" s="661">
        <v>500</v>
      </c>
      <c r="H2040" s="633">
        <v>2259</v>
      </c>
      <c r="I2040" s="618"/>
      <c r="J2040" s="619" t="s">
        <v>2240</v>
      </c>
      <c r="K2040" s="618"/>
      <c r="L2040" s="619">
        <v>119</v>
      </c>
      <c r="M2040" s="620">
        <v>110</v>
      </c>
      <c r="N2040" s="619"/>
      <c r="O2040" s="619">
        <v>14</v>
      </c>
      <c r="P2040" s="619" t="s">
        <v>760</v>
      </c>
      <c r="Q2040" s="662"/>
      <c r="R2040" s="618"/>
      <c r="S2040" s="621" t="s">
        <v>2864</v>
      </c>
      <c r="T2040" s="619" t="s">
        <v>252</v>
      </c>
    </row>
    <row r="2041" spans="1:20">
      <c r="A2041" s="622"/>
      <c r="B2041" s="628"/>
      <c r="C2041" s="623"/>
      <c r="D2041" s="623"/>
      <c r="E2041" s="627" t="s">
        <v>2242</v>
      </c>
      <c r="F2041" s="626"/>
      <c r="G2041" s="623"/>
      <c r="H2041" s="627"/>
      <c r="I2041" s="618"/>
      <c r="J2041" s="618"/>
      <c r="K2041" s="618"/>
      <c r="L2041" s="618"/>
      <c r="M2041" s="618"/>
      <c r="N2041" s="618"/>
      <c r="O2041" s="618"/>
      <c r="P2041" s="618"/>
      <c r="Q2041" s="662"/>
      <c r="R2041" s="618"/>
      <c r="S2041" s="621"/>
      <c r="T2041" s="618"/>
    </row>
    <row r="2042" spans="1:20">
      <c r="A2042" s="630">
        <v>6152259</v>
      </c>
      <c r="B2042" s="628"/>
      <c r="C2042" s="623"/>
      <c r="D2042" s="623"/>
      <c r="E2042" s="627" t="s">
        <v>2243</v>
      </c>
      <c r="F2042" s="631" t="s">
        <v>2881</v>
      </c>
      <c r="G2042" s="661">
        <v>615</v>
      </c>
      <c r="H2042" s="633">
        <v>2259</v>
      </c>
      <c r="I2042" s="618"/>
      <c r="J2042" s="619" t="s">
        <v>2243</v>
      </c>
      <c r="K2042" s="618"/>
      <c r="L2042" s="619">
        <v>126</v>
      </c>
      <c r="M2042" s="620">
        <v>117</v>
      </c>
      <c r="N2042" s="619"/>
      <c r="O2042" s="619">
        <v>14</v>
      </c>
      <c r="P2042" s="619" t="s">
        <v>760</v>
      </c>
      <c r="Q2042" s="662" t="s">
        <v>1043</v>
      </c>
      <c r="R2042" s="618"/>
      <c r="S2042" s="621" t="s">
        <v>2864</v>
      </c>
      <c r="T2042" s="619" t="s">
        <v>1041</v>
      </c>
    </row>
    <row r="2043" spans="1:20">
      <c r="A2043" s="630">
        <v>6102259</v>
      </c>
      <c r="B2043" s="628"/>
      <c r="C2043" s="623"/>
      <c r="D2043" s="623"/>
      <c r="E2043" s="627" t="s">
        <v>2245</v>
      </c>
      <c r="F2043" s="631" t="s">
        <v>2882</v>
      </c>
      <c r="G2043" s="661">
        <v>610</v>
      </c>
      <c r="H2043" s="633">
        <v>2259</v>
      </c>
      <c r="I2043" s="618"/>
      <c r="J2043" s="619" t="s">
        <v>2245</v>
      </c>
      <c r="K2043" s="618"/>
      <c r="L2043" s="619">
        <v>122</v>
      </c>
      <c r="M2043" s="620">
        <v>113</v>
      </c>
      <c r="N2043" s="619"/>
      <c r="O2043" s="619">
        <v>14</v>
      </c>
      <c r="P2043" s="619" t="s">
        <v>760</v>
      </c>
      <c r="Q2043" s="662" t="s">
        <v>1043</v>
      </c>
      <c r="R2043" s="618"/>
      <c r="S2043" s="621" t="s">
        <v>2864</v>
      </c>
      <c r="T2043" s="619" t="s">
        <v>39</v>
      </c>
    </row>
    <row r="2044" spans="1:20">
      <c r="A2044" s="630">
        <v>6402259</v>
      </c>
      <c r="B2044" s="628"/>
      <c r="C2044" s="623"/>
      <c r="D2044" s="623"/>
      <c r="E2044" s="627" t="s">
        <v>2851</v>
      </c>
      <c r="F2044" s="631" t="s">
        <v>2883</v>
      </c>
      <c r="G2044" s="661">
        <v>640</v>
      </c>
      <c r="H2044" s="633">
        <v>2259</v>
      </c>
      <c r="I2044" s="618"/>
      <c r="J2044" s="619" t="s">
        <v>2851</v>
      </c>
      <c r="K2044" s="618"/>
      <c r="L2044" s="619">
        <v>125</v>
      </c>
      <c r="M2044" s="620">
        <v>116</v>
      </c>
      <c r="N2044" s="619"/>
      <c r="O2044" s="619">
        <v>14</v>
      </c>
      <c r="P2044" s="619" t="s">
        <v>760</v>
      </c>
      <c r="Q2044" s="662" t="s">
        <v>1043</v>
      </c>
      <c r="R2044" s="618"/>
      <c r="S2044" s="621" t="s">
        <v>2864</v>
      </c>
      <c r="T2044" s="619" t="s">
        <v>2528</v>
      </c>
    </row>
    <row r="2045" spans="1:20">
      <c r="A2045" s="630">
        <v>6002259</v>
      </c>
      <c r="B2045" s="628"/>
      <c r="C2045" s="623"/>
      <c r="D2045" s="623"/>
      <c r="E2045" s="627" t="s">
        <v>2853</v>
      </c>
      <c r="F2045" s="631" t="s">
        <v>2884</v>
      </c>
      <c r="G2045" s="661">
        <v>600</v>
      </c>
      <c r="H2045" s="633">
        <v>2259</v>
      </c>
      <c r="I2045" s="618"/>
      <c r="J2045" s="619" t="s">
        <v>2853</v>
      </c>
      <c r="K2045" s="618"/>
      <c r="L2045" s="619">
        <v>126</v>
      </c>
      <c r="M2045" s="620">
        <v>117</v>
      </c>
      <c r="N2045" s="619"/>
      <c r="O2045" s="619">
        <v>14</v>
      </c>
      <c r="P2045" s="619" t="s">
        <v>760</v>
      </c>
      <c r="Q2045" s="662"/>
      <c r="R2045" s="618"/>
      <c r="S2045" s="621" t="s">
        <v>2864</v>
      </c>
      <c r="T2045" s="619" t="s">
        <v>1048</v>
      </c>
    </row>
    <row r="2046" spans="1:20">
      <c r="A2046" s="622"/>
      <c r="B2046" s="628"/>
      <c r="C2046" s="623"/>
      <c r="D2046" s="623"/>
      <c r="E2046" s="627" t="s">
        <v>2249</v>
      </c>
      <c r="F2046" s="626"/>
      <c r="G2046" s="623"/>
      <c r="H2046" s="627"/>
      <c r="I2046" s="618"/>
      <c r="J2046" s="618"/>
      <c r="K2046" s="618"/>
      <c r="L2046" s="618"/>
      <c r="M2046" s="618"/>
      <c r="N2046" s="618"/>
      <c r="O2046" s="618"/>
      <c r="P2046" s="618"/>
      <c r="Q2046" s="662"/>
      <c r="R2046" s="618"/>
      <c r="S2046" s="621"/>
      <c r="T2046" s="618"/>
    </row>
    <row r="2047" spans="1:20">
      <c r="A2047" s="630">
        <v>7342259</v>
      </c>
      <c r="B2047" s="628"/>
      <c r="C2047" s="623"/>
      <c r="D2047" s="623"/>
      <c r="E2047" s="627" t="s">
        <v>2250</v>
      </c>
      <c r="F2047" s="631" t="s">
        <v>2885</v>
      </c>
      <c r="G2047" s="661">
        <v>734</v>
      </c>
      <c r="H2047" s="633">
        <v>2259</v>
      </c>
      <c r="I2047" s="618"/>
      <c r="J2047" s="619" t="s">
        <v>2250</v>
      </c>
      <c r="K2047" s="618"/>
      <c r="L2047" s="619">
        <v>131</v>
      </c>
      <c r="M2047" s="620">
        <v>122</v>
      </c>
      <c r="N2047" s="619"/>
      <c r="O2047" s="619">
        <v>14</v>
      </c>
      <c r="P2047" s="619" t="s">
        <v>760</v>
      </c>
      <c r="Q2047" s="662"/>
      <c r="R2047" s="618"/>
      <c r="S2047" s="621" t="s">
        <v>2864</v>
      </c>
      <c r="T2047" s="619" t="s">
        <v>1051</v>
      </c>
    </row>
    <row r="2048" spans="1:20">
      <c r="A2048" s="630">
        <v>7352259</v>
      </c>
      <c r="B2048" s="628"/>
      <c r="C2048" s="623"/>
      <c r="D2048" s="623"/>
      <c r="E2048" s="627" t="s">
        <v>2252</v>
      </c>
      <c r="F2048" s="631" t="s">
        <v>2886</v>
      </c>
      <c r="G2048" s="661">
        <v>735</v>
      </c>
      <c r="H2048" s="633">
        <v>2259</v>
      </c>
      <c r="I2048" s="618"/>
      <c r="J2048" s="619" t="s">
        <v>2252</v>
      </c>
      <c r="K2048" s="618"/>
      <c r="L2048" s="619">
        <v>131</v>
      </c>
      <c r="M2048" s="620">
        <v>122</v>
      </c>
      <c r="N2048" s="619"/>
      <c r="O2048" s="619">
        <v>14</v>
      </c>
      <c r="P2048" s="619" t="s">
        <v>760</v>
      </c>
      <c r="Q2048" s="662"/>
      <c r="R2048" s="618"/>
      <c r="S2048" s="621" t="s">
        <v>2864</v>
      </c>
      <c r="T2048" s="619" t="s">
        <v>1053</v>
      </c>
    </row>
    <row r="2049" spans="1:20">
      <c r="A2049" s="630">
        <v>7302259</v>
      </c>
      <c r="B2049" s="628"/>
      <c r="C2049" s="623"/>
      <c r="D2049" s="623"/>
      <c r="E2049" s="627" t="s">
        <v>2254</v>
      </c>
      <c r="F2049" s="631" t="s">
        <v>2887</v>
      </c>
      <c r="G2049" s="661">
        <v>730</v>
      </c>
      <c r="H2049" s="633">
        <v>2259</v>
      </c>
      <c r="I2049" s="618"/>
      <c r="J2049" s="619" t="s">
        <v>2254</v>
      </c>
      <c r="K2049" s="618"/>
      <c r="L2049" s="619">
        <v>131</v>
      </c>
      <c r="M2049" s="620">
        <v>122</v>
      </c>
      <c r="N2049" s="619"/>
      <c r="O2049" s="619">
        <v>14</v>
      </c>
      <c r="P2049" s="619" t="s">
        <v>760</v>
      </c>
      <c r="Q2049" s="662"/>
      <c r="R2049" s="618"/>
      <c r="S2049" s="621" t="s">
        <v>2864</v>
      </c>
      <c r="T2049" s="619" t="s">
        <v>1055</v>
      </c>
    </row>
    <row r="2050" spans="1:20">
      <c r="A2050" s="630">
        <v>7002259</v>
      </c>
      <c r="B2050" s="628"/>
      <c r="C2050" s="623"/>
      <c r="D2050" s="623"/>
      <c r="E2050" s="627" t="s">
        <v>2256</v>
      </c>
      <c r="F2050" s="631" t="s">
        <v>2888</v>
      </c>
      <c r="G2050" s="661">
        <v>700</v>
      </c>
      <c r="H2050" s="633">
        <v>2259</v>
      </c>
      <c r="I2050" s="618"/>
      <c r="J2050" s="619" t="s">
        <v>2256</v>
      </c>
      <c r="K2050" s="618"/>
      <c r="L2050" s="619">
        <v>132</v>
      </c>
      <c r="M2050" s="620">
        <v>123</v>
      </c>
      <c r="N2050" s="619"/>
      <c r="O2050" s="619">
        <v>14</v>
      </c>
      <c r="P2050" s="619" t="s">
        <v>760</v>
      </c>
      <c r="Q2050" s="662"/>
      <c r="R2050" s="618"/>
      <c r="S2050" s="621" t="s">
        <v>2864</v>
      </c>
      <c r="T2050" s="619" t="s">
        <v>1057</v>
      </c>
    </row>
    <row r="2051" spans="1:20">
      <c r="A2051" s="622"/>
      <c r="B2051" s="628"/>
      <c r="C2051" s="623"/>
      <c r="D2051" s="623"/>
      <c r="E2051" s="627" t="s">
        <v>2258</v>
      </c>
      <c r="F2051" s="626"/>
      <c r="G2051" s="623"/>
      <c r="H2051" s="627"/>
      <c r="I2051" s="618"/>
      <c r="J2051" s="618"/>
      <c r="K2051" s="618"/>
      <c r="L2051" s="618"/>
      <c r="M2051" s="618"/>
      <c r="N2051" s="618"/>
      <c r="O2051" s="618"/>
      <c r="P2051" s="618"/>
      <c r="Q2051" s="662"/>
      <c r="R2051" s="618"/>
      <c r="S2051" s="621"/>
      <c r="T2051" s="618"/>
    </row>
    <row r="2052" spans="1:20">
      <c r="A2052" s="630">
        <v>8952259</v>
      </c>
      <c r="B2052" s="628"/>
      <c r="C2052" s="623"/>
      <c r="D2052" s="623"/>
      <c r="E2052" s="627" t="s">
        <v>2259</v>
      </c>
      <c r="F2052" s="631" t="s">
        <v>2889</v>
      </c>
      <c r="G2052" s="661">
        <v>895</v>
      </c>
      <c r="H2052" s="633">
        <v>2259</v>
      </c>
      <c r="I2052" s="618"/>
      <c r="J2052" s="619" t="s">
        <v>2259</v>
      </c>
      <c r="K2052" s="618"/>
      <c r="L2052" s="619">
        <v>139</v>
      </c>
      <c r="M2052" s="620">
        <v>129</v>
      </c>
      <c r="N2052" s="619"/>
      <c r="O2052" s="619">
        <v>14</v>
      </c>
      <c r="P2052" s="619" t="s">
        <v>760</v>
      </c>
      <c r="Q2052" s="662"/>
      <c r="R2052" s="618"/>
      <c r="S2052" s="621" t="s">
        <v>2864</v>
      </c>
      <c r="T2052" s="619" t="s">
        <v>2261</v>
      </c>
    </row>
    <row r="2053" spans="1:20">
      <c r="A2053" s="630">
        <v>8002259</v>
      </c>
      <c r="B2053" s="628"/>
      <c r="C2053" s="623"/>
      <c r="D2053" s="623"/>
      <c r="E2053" s="627" t="s">
        <v>2262</v>
      </c>
      <c r="F2053" s="631" t="s">
        <v>2890</v>
      </c>
      <c r="G2053" s="661">
        <v>800</v>
      </c>
      <c r="H2053" s="633">
        <v>2259</v>
      </c>
      <c r="I2053" s="618"/>
      <c r="J2053" s="619" t="s">
        <v>2262</v>
      </c>
      <c r="K2053" s="618"/>
      <c r="L2053" s="619">
        <v>139</v>
      </c>
      <c r="M2053" s="620">
        <v>129</v>
      </c>
      <c r="N2053" s="619"/>
      <c r="O2053" s="619">
        <v>14</v>
      </c>
      <c r="P2053" s="619" t="s">
        <v>760</v>
      </c>
      <c r="Q2053" s="662"/>
      <c r="R2053" s="618"/>
      <c r="S2053" s="621" t="s">
        <v>2864</v>
      </c>
      <c r="T2053" s="619" t="s">
        <v>1061</v>
      </c>
    </row>
    <row r="2054" spans="1:20">
      <c r="A2054" s="622"/>
      <c r="B2054" s="628"/>
      <c r="C2054" s="623"/>
      <c r="D2054" s="623"/>
      <c r="E2054" s="627" t="s">
        <v>2891</v>
      </c>
      <c r="F2054" s="626"/>
      <c r="G2054" s="623"/>
      <c r="H2054" s="627"/>
      <c r="I2054" s="618"/>
      <c r="J2054" s="618"/>
      <c r="K2054" s="618"/>
      <c r="L2054" s="618"/>
      <c r="M2054" s="618"/>
      <c r="N2054" s="618"/>
      <c r="O2054" s="618"/>
      <c r="P2054" s="618"/>
      <c r="Q2054" s="662"/>
      <c r="R2054" s="618"/>
      <c r="S2054" s="621"/>
      <c r="T2054" s="618"/>
    </row>
    <row r="2055" spans="1:20">
      <c r="A2055" s="630">
        <v>2102250</v>
      </c>
      <c r="B2055" s="628"/>
      <c r="C2055" s="623"/>
      <c r="D2055" s="623"/>
      <c r="E2055" s="627" t="s">
        <v>2265</v>
      </c>
      <c r="F2055" s="631" t="s">
        <v>2892</v>
      </c>
      <c r="G2055" s="661">
        <v>210</v>
      </c>
      <c r="H2055" s="633">
        <v>2250</v>
      </c>
      <c r="I2055" s="618"/>
      <c r="J2055" s="619" t="s">
        <v>2265</v>
      </c>
      <c r="K2055" s="618"/>
      <c r="L2055" s="619">
        <v>89</v>
      </c>
      <c r="M2055" s="620">
        <v>84</v>
      </c>
      <c r="N2055" s="619"/>
      <c r="O2055" s="619">
        <v>14</v>
      </c>
      <c r="P2055" s="619" t="s">
        <v>760</v>
      </c>
      <c r="Q2055" s="662" t="s">
        <v>1002</v>
      </c>
      <c r="R2055" s="618"/>
      <c r="S2055" s="621" t="s">
        <v>2864</v>
      </c>
      <c r="T2055" s="619" t="s">
        <v>1064</v>
      </c>
    </row>
    <row r="2056" spans="1:20">
      <c r="A2056" s="630">
        <v>2202250</v>
      </c>
      <c r="B2056" s="628"/>
      <c r="C2056" s="623"/>
      <c r="D2056" s="623"/>
      <c r="E2056" s="627" t="s">
        <v>2267</v>
      </c>
      <c r="F2056" s="631" t="s">
        <v>2893</v>
      </c>
      <c r="G2056" s="661">
        <v>220</v>
      </c>
      <c r="H2056" s="633">
        <v>2250</v>
      </c>
      <c r="I2056" s="618"/>
      <c r="J2056" s="619" t="s">
        <v>2267</v>
      </c>
      <c r="K2056" s="618"/>
      <c r="L2056" s="619">
        <v>90</v>
      </c>
      <c r="M2056" s="620">
        <v>85</v>
      </c>
      <c r="N2056" s="619"/>
      <c r="O2056" s="619">
        <v>14</v>
      </c>
      <c r="P2056" s="619" t="s">
        <v>760</v>
      </c>
      <c r="Q2056" s="662" t="s">
        <v>1002</v>
      </c>
      <c r="R2056" s="618"/>
      <c r="S2056" s="621" t="s">
        <v>2864</v>
      </c>
      <c r="T2056" s="619" t="s">
        <v>1066</v>
      </c>
    </row>
    <row r="2057" spans="1:20">
      <c r="A2057" s="630">
        <v>2252250</v>
      </c>
      <c r="B2057" s="628"/>
      <c r="C2057" s="623"/>
      <c r="D2057" s="623"/>
      <c r="E2057" s="627" t="s">
        <v>2269</v>
      </c>
      <c r="F2057" s="631" t="s">
        <v>2894</v>
      </c>
      <c r="G2057" s="661">
        <v>225</v>
      </c>
      <c r="H2057" s="633">
        <v>2250</v>
      </c>
      <c r="I2057" s="618"/>
      <c r="J2057" s="619" t="s">
        <v>2269</v>
      </c>
      <c r="K2057" s="618"/>
      <c r="L2057" s="619">
        <v>91</v>
      </c>
      <c r="M2057" s="620">
        <v>86</v>
      </c>
      <c r="N2057" s="619"/>
      <c r="O2057" s="619">
        <v>14</v>
      </c>
      <c r="P2057" s="619" t="s">
        <v>760</v>
      </c>
      <c r="Q2057" s="662" t="s">
        <v>1002</v>
      </c>
      <c r="R2057" s="618"/>
      <c r="S2057" s="621" t="s">
        <v>2864</v>
      </c>
      <c r="T2057" s="619" t="s">
        <v>23</v>
      </c>
    </row>
    <row r="2058" spans="1:20">
      <c r="A2058" s="622"/>
      <c r="B2058" s="628"/>
      <c r="C2058" s="623"/>
      <c r="D2058" s="623"/>
      <c r="E2058" s="627" t="s">
        <v>2271</v>
      </c>
      <c r="F2058" s="626"/>
      <c r="G2058" s="623"/>
      <c r="H2058" s="627"/>
      <c r="I2058" s="618"/>
      <c r="J2058" s="618"/>
      <c r="K2058" s="618"/>
      <c r="L2058" s="618"/>
      <c r="M2058" s="618"/>
      <c r="N2058" s="618"/>
      <c r="O2058" s="618"/>
      <c r="P2058" s="618"/>
      <c r="Q2058" s="662"/>
      <c r="R2058" s="618"/>
      <c r="S2058" s="621"/>
      <c r="T2058" s="618"/>
    </row>
    <row r="2059" spans="1:20">
      <c r="A2059" s="630">
        <v>2312250</v>
      </c>
      <c r="B2059" s="628"/>
      <c r="C2059" s="623"/>
      <c r="D2059" s="623"/>
      <c r="E2059" s="627" t="s">
        <v>2272</v>
      </c>
      <c r="F2059" s="631" t="s">
        <v>2895</v>
      </c>
      <c r="G2059" s="661">
        <v>231</v>
      </c>
      <c r="H2059" s="633">
        <v>2250</v>
      </c>
      <c r="I2059" s="618"/>
      <c r="J2059" s="619" t="s">
        <v>2272</v>
      </c>
      <c r="K2059" s="618"/>
      <c r="L2059" s="619">
        <v>92</v>
      </c>
      <c r="M2059" s="620">
        <v>87</v>
      </c>
      <c r="N2059" s="619"/>
      <c r="O2059" s="619">
        <v>14</v>
      </c>
      <c r="P2059" s="619" t="s">
        <v>760</v>
      </c>
      <c r="Q2059" s="662" t="s">
        <v>1002</v>
      </c>
      <c r="R2059" s="618"/>
      <c r="S2059" s="621" t="s">
        <v>2864</v>
      </c>
      <c r="T2059" s="619" t="s">
        <v>1072</v>
      </c>
    </row>
    <row r="2060" spans="1:20">
      <c r="A2060" s="630">
        <v>2332250</v>
      </c>
      <c r="B2060" s="628"/>
      <c r="C2060" s="623"/>
      <c r="D2060" s="623"/>
      <c r="E2060" s="627" t="s">
        <v>2274</v>
      </c>
      <c r="F2060" s="631" t="s">
        <v>2896</v>
      </c>
      <c r="G2060" s="661">
        <v>233</v>
      </c>
      <c r="H2060" s="633">
        <v>2250</v>
      </c>
      <c r="I2060" s="618"/>
      <c r="J2060" s="619" t="s">
        <v>2274</v>
      </c>
      <c r="K2060" s="618"/>
      <c r="L2060" s="619">
        <v>92</v>
      </c>
      <c r="M2060" s="620">
        <v>87</v>
      </c>
      <c r="N2060" s="619"/>
      <c r="O2060" s="619">
        <v>14</v>
      </c>
      <c r="P2060" s="619" t="s">
        <v>760</v>
      </c>
      <c r="Q2060" s="662" t="s">
        <v>1002</v>
      </c>
      <c r="R2060" s="618"/>
      <c r="S2060" s="621" t="s">
        <v>2864</v>
      </c>
      <c r="T2060" s="619" t="s">
        <v>2276</v>
      </c>
    </row>
    <row r="2061" spans="1:20">
      <c r="A2061" s="630">
        <v>2392250</v>
      </c>
      <c r="B2061" s="628"/>
      <c r="C2061" s="623"/>
      <c r="D2061" s="623"/>
      <c r="E2061" s="627" t="s">
        <v>2277</v>
      </c>
      <c r="F2061" s="631" t="s">
        <v>2897</v>
      </c>
      <c r="G2061" s="661">
        <v>239</v>
      </c>
      <c r="H2061" s="633">
        <v>2250</v>
      </c>
      <c r="I2061" s="618"/>
      <c r="J2061" s="619" t="s">
        <v>2277</v>
      </c>
      <c r="K2061" s="618"/>
      <c r="L2061" s="619">
        <v>92</v>
      </c>
      <c r="M2061" s="620">
        <v>87</v>
      </c>
      <c r="N2061" s="619"/>
      <c r="O2061" s="619">
        <v>14</v>
      </c>
      <c r="P2061" s="619" t="s">
        <v>760</v>
      </c>
      <c r="Q2061" s="662" t="s">
        <v>1002</v>
      </c>
      <c r="R2061" s="618"/>
      <c r="S2061" s="621" t="s">
        <v>2864</v>
      </c>
      <c r="T2061" s="619" t="s">
        <v>1078</v>
      </c>
    </row>
    <row r="2062" spans="1:20">
      <c r="A2062" s="630">
        <v>2502250</v>
      </c>
      <c r="B2062" s="628"/>
      <c r="C2062" s="623"/>
      <c r="D2062" s="623"/>
      <c r="E2062" s="627" t="s">
        <v>2279</v>
      </c>
      <c r="F2062" s="631" t="s">
        <v>2898</v>
      </c>
      <c r="G2062" s="661">
        <v>250</v>
      </c>
      <c r="H2062" s="633">
        <v>2250</v>
      </c>
      <c r="I2062" s="618"/>
      <c r="J2062" s="619" t="s">
        <v>2279</v>
      </c>
      <c r="K2062" s="618"/>
      <c r="L2062" s="619">
        <v>93</v>
      </c>
      <c r="M2062" s="620">
        <v>88</v>
      </c>
      <c r="N2062" s="619"/>
      <c r="O2062" s="619">
        <v>14</v>
      </c>
      <c r="P2062" s="619" t="s">
        <v>760</v>
      </c>
      <c r="Q2062" s="662" t="s">
        <v>1002</v>
      </c>
      <c r="R2062" s="618"/>
      <c r="S2062" s="621" t="s">
        <v>2864</v>
      </c>
      <c r="T2062" s="619" t="s">
        <v>1079</v>
      </c>
    </row>
    <row r="2063" spans="1:20">
      <c r="A2063" s="630">
        <v>2602250</v>
      </c>
      <c r="B2063" s="628"/>
      <c r="C2063" s="623"/>
      <c r="D2063" s="623"/>
      <c r="E2063" s="627" t="s">
        <v>2281</v>
      </c>
      <c r="F2063" s="631" t="s">
        <v>2899</v>
      </c>
      <c r="G2063" s="661">
        <v>260</v>
      </c>
      <c r="H2063" s="633">
        <v>2250</v>
      </c>
      <c r="I2063" s="618"/>
      <c r="J2063" s="619" t="s">
        <v>2281</v>
      </c>
      <c r="K2063" s="618"/>
      <c r="L2063" s="619">
        <v>95</v>
      </c>
      <c r="M2063" s="620">
        <v>90</v>
      </c>
      <c r="N2063" s="619"/>
      <c r="O2063" s="619">
        <v>14</v>
      </c>
      <c r="P2063" s="619" t="s">
        <v>760</v>
      </c>
      <c r="Q2063" s="662" t="s">
        <v>1002</v>
      </c>
      <c r="R2063" s="618"/>
      <c r="S2063" s="621" t="s">
        <v>2864</v>
      </c>
      <c r="T2063" s="619" t="s">
        <v>1081</v>
      </c>
    </row>
    <row r="2064" spans="1:20">
      <c r="A2064" s="630">
        <v>2702250</v>
      </c>
      <c r="B2064" s="628"/>
      <c r="C2064" s="623"/>
      <c r="D2064" s="623"/>
      <c r="E2064" s="627" t="s">
        <v>2283</v>
      </c>
      <c r="F2064" s="631" t="s">
        <v>2900</v>
      </c>
      <c r="G2064" s="661">
        <v>270</v>
      </c>
      <c r="H2064" s="633">
        <v>2250</v>
      </c>
      <c r="I2064" s="618"/>
      <c r="J2064" s="619" t="s">
        <v>2283</v>
      </c>
      <c r="K2064" s="618"/>
      <c r="L2064" s="619">
        <v>94</v>
      </c>
      <c r="M2064" s="620">
        <v>89</v>
      </c>
      <c r="N2064" s="619"/>
      <c r="O2064" s="619">
        <v>14</v>
      </c>
      <c r="P2064" s="619" t="s">
        <v>760</v>
      </c>
      <c r="Q2064" s="662" t="s">
        <v>1002</v>
      </c>
      <c r="R2064" s="618"/>
      <c r="S2064" s="621" t="s">
        <v>2864</v>
      </c>
      <c r="T2064" s="619" t="s">
        <v>1083</v>
      </c>
    </row>
    <row r="2065" spans="1:20">
      <c r="A2065" s="630">
        <v>2812250</v>
      </c>
      <c r="B2065" s="628"/>
      <c r="C2065" s="623"/>
      <c r="D2065" s="623"/>
      <c r="E2065" s="627" t="s">
        <v>2285</v>
      </c>
      <c r="F2065" s="631" t="s">
        <v>2901</v>
      </c>
      <c r="G2065" s="661">
        <v>281</v>
      </c>
      <c r="H2065" s="633">
        <v>2250</v>
      </c>
      <c r="I2065" s="618"/>
      <c r="J2065" s="619" t="s">
        <v>2285</v>
      </c>
      <c r="K2065" s="618"/>
      <c r="L2065" s="619">
        <v>95</v>
      </c>
      <c r="M2065" s="620">
        <v>90</v>
      </c>
      <c r="N2065" s="619"/>
      <c r="O2065" s="619">
        <v>14</v>
      </c>
      <c r="P2065" s="619" t="s">
        <v>760</v>
      </c>
      <c r="Q2065" s="662" t="s">
        <v>1002</v>
      </c>
      <c r="R2065" s="618"/>
      <c r="S2065" s="621" t="s">
        <v>2864</v>
      </c>
      <c r="T2065" s="619" t="s">
        <v>1085</v>
      </c>
    </row>
    <row r="2066" spans="1:20">
      <c r="A2066" s="630">
        <v>2822250</v>
      </c>
      <c r="B2066" s="628"/>
      <c r="C2066" s="623"/>
      <c r="D2066" s="623"/>
      <c r="E2066" s="627" t="s">
        <v>2287</v>
      </c>
      <c r="F2066" s="631" t="s">
        <v>2902</v>
      </c>
      <c r="G2066" s="661">
        <v>282</v>
      </c>
      <c r="H2066" s="633">
        <v>2250</v>
      </c>
      <c r="I2066" s="618"/>
      <c r="J2066" s="619" t="s">
        <v>2287</v>
      </c>
      <c r="K2066" s="618"/>
      <c r="L2066" s="619">
        <v>95</v>
      </c>
      <c r="M2066" s="620">
        <v>90</v>
      </c>
      <c r="N2066" s="619"/>
      <c r="O2066" s="619">
        <v>14</v>
      </c>
      <c r="P2066" s="619" t="s">
        <v>760</v>
      </c>
      <c r="Q2066" s="662" t="s">
        <v>1002</v>
      </c>
      <c r="R2066" s="618"/>
      <c r="S2066" s="621" t="s">
        <v>2864</v>
      </c>
      <c r="T2066" s="619" t="s">
        <v>1087</v>
      </c>
    </row>
    <row r="2067" spans="1:20">
      <c r="A2067" s="630">
        <v>2902250</v>
      </c>
      <c r="B2067" s="628"/>
      <c r="C2067" s="623"/>
      <c r="D2067" s="623"/>
      <c r="E2067" s="627" t="s">
        <v>2289</v>
      </c>
      <c r="F2067" s="631" t="s">
        <v>2903</v>
      </c>
      <c r="G2067" s="661">
        <v>290</v>
      </c>
      <c r="H2067" s="633">
        <v>2250</v>
      </c>
      <c r="I2067" s="618"/>
      <c r="J2067" s="619" t="s">
        <v>2289</v>
      </c>
      <c r="K2067" s="618"/>
      <c r="L2067" s="619">
        <v>95</v>
      </c>
      <c r="M2067" s="620">
        <v>90</v>
      </c>
      <c r="N2067" s="619"/>
      <c r="O2067" s="619">
        <v>14</v>
      </c>
      <c r="P2067" s="619" t="s">
        <v>760</v>
      </c>
      <c r="Q2067" s="662" t="s">
        <v>1002</v>
      </c>
      <c r="R2067" s="618"/>
      <c r="S2067" s="621" t="s">
        <v>2864</v>
      </c>
      <c r="T2067" s="619" t="s">
        <v>1090</v>
      </c>
    </row>
    <row r="2068" spans="1:20">
      <c r="A2068" s="622"/>
      <c r="B2068" s="628"/>
      <c r="C2068" s="629">
        <v>59</v>
      </c>
      <c r="D2068" s="774" t="s">
        <v>2904</v>
      </c>
      <c r="E2068" s="775"/>
      <c r="F2068" s="626"/>
      <c r="G2068" s="623"/>
      <c r="H2068" s="627"/>
      <c r="I2068" s="618"/>
      <c r="J2068" s="618"/>
      <c r="K2068" s="618"/>
      <c r="L2068" s="618"/>
      <c r="M2068" s="618"/>
      <c r="N2068" s="618"/>
      <c r="O2068" s="618"/>
      <c r="P2068" s="618"/>
      <c r="Q2068" s="662"/>
      <c r="R2068" s="618"/>
      <c r="S2068" s="621"/>
      <c r="T2068" s="618"/>
    </row>
    <row r="2069" spans="1:20">
      <c r="A2069" s="622"/>
      <c r="B2069" s="628"/>
      <c r="C2069" s="623"/>
      <c r="D2069" s="623" t="s">
        <v>756</v>
      </c>
      <c r="E2069" s="627" t="s">
        <v>2905</v>
      </c>
      <c r="F2069" s="626"/>
      <c r="G2069" s="623"/>
      <c r="H2069" s="627"/>
      <c r="I2069" s="618"/>
      <c r="J2069" s="618"/>
      <c r="K2069" s="618"/>
      <c r="L2069" s="618"/>
      <c r="M2069" s="618"/>
      <c r="N2069" s="618"/>
      <c r="O2069" s="618"/>
      <c r="P2069" s="618"/>
      <c r="Q2069" s="662"/>
      <c r="R2069" s="618"/>
      <c r="S2069" s="621"/>
      <c r="T2069" s="618"/>
    </row>
    <row r="2070" spans="1:20">
      <c r="A2070" s="630">
        <v>1112290</v>
      </c>
      <c r="B2070" s="628"/>
      <c r="C2070" s="623"/>
      <c r="D2070" s="623"/>
      <c r="E2070" s="627" t="s">
        <v>2510</v>
      </c>
      <c r="F2070" s="631" t="s">
        <v>2906</v>
      </c>
      <c r="G2070" s="661">
        <v>111</v>
      </c>
      <c r="H2070" s="633">
        <v>2290</v>
      </c>
      <c r="I2070" s="618"/>
      <c r="J2070" s="619" t="s">
        <v>2510</v>
      </c>
      <c r="K2070" s="618"/>
      <c r="L2070" s="619">
        <v>81</v>
      </c>
      <c r="M2070" s="620">
        <v>76</v>
      </c>
      <c r="N2070" s="619"/>
      <c r="O2070" s="619">
        <v>14</v>
      </c>
      <c r="P2070" s="619" t="s">
        <v>760</v>
      </c>
      <c r="Q2070" s="662" t="s">
        <v>1002</v>
      </c>
      <c r="R2070" s="618"/>
      <c r="S2070" s="621" t="s">
        <v>2907</v>
      </c>
      <c r="T2070" s="619" t="s">
        <v>2217</v>
      </c>
    </row>
    <row r="2071" spans="1:20">
      <c r="A2071" s="630">
        <v>1132290</v>
      </c>
      <c r="B2071" s="628"/>
      <c r="C2071" s="623"/>
      <c r="D2071" s="623"/>
      <c r="E2071" s="627" t="s">
        <v>2513</v>
      </c>
      <c r="F2071" s="631" t="s">
        <v>2908</v>
      </c>
      <c r="G2071" s="661">
        <v>113</v>
      </c>
      <c r="H2071" s="633">
        <v>2290</v>
      </c>
      <c r="I2071" s="618"/>
      <c r="J2071" s="619" t="s">
        <v>2513</v>
      </c>
      <c r="K2071" s="618"/>
      <c r="L2071" s="619">
        <v>83</v>
      </c>
      <c r="M2071" s="620">
        <v>78</v>
      </c>
      <c r="N2071" s="619"/>
      <c r="O2071" s="619">
        <v>14</v>
      </c>
      <c r="P2071" s="619" t="s">
        <v>760</v>
      </c>
      <c r="Q2071" s="662" t="s">
        <v>1002</v>
      </c>
      <c r="R2071" s="618"/>
      <c r="S2071" s="621" t="s">
        <v>2907</v>
      </c>
      <c r="T2071" s="619" t="s">
        <v>2220</v>
      </c>
    </row>
    <row r="2072" spans="1:20">
      <c r="A2072" s="630">
        <v>1142290</v>
      </c>
      <c r="B2072" s="628"/>
      <c r="C2072" s="623"/>
      <c r="D2072" s="623"/>
      <c r="E2072" s="627" t="s">
        <v>1851</v>
      </c>
      <c r="F2072" s="631" t="s">
        <v>2909</v>
      </c>
      <c r="G2072" s="661">
        <v>114</v>
      </c>
      <c r="H2072" s="633">
        <v>2290</v>
      </c>
      <c r="I2072" s="618"/>
      <c r="J2072" s="619" t="s">
        <v>1851</v>
      </c>
      <c r="K2072" s="618"/>
      <c r="L2072" s="619">
        <v>84</v>
      </c>
      <c r="M2072" s="620">
        <v>79</v>
      </c>
      <c r="N2072" s="619"/>
      <c r="O2072" s="619">
        <v>14</v>
      </c>
      <c r="P2072" s="619" t="s">
        <v>760</v>
      </c>
      <c r="Q2072" s="662" t="s">
        <v>1002</v>
      </c>
      <c r="R2072" s="618"/>
      <c r="S2072" s="621" t="s">
        <v>2907</v>
      </c>
      <c r="T2072" s="619" t="s">
        <v>1853</v>
      </c>
    </row>
    <row r="2073" spans="1:20">
      <c r="A2073" s="630">
        <v>1002290</v>
      </c>
      <c r="B2073" s="628"/>
      <c r="C2073" s="623"/>
      <c r="D2073" s="623"/>
      <c r="E2073" s="627" t="s">
        <v>2132</v>
      </c>
      <c r="F2073" s="631" t="s">
        <v>2910</v>
      </c>
      <c r="G2073" s="661">
        <v>100</v>
      </c>
      <c r="H2073" s="633">
        <v>2290</v>
      </c>
      <c r="I2073" s="618"/>
      <c r="J2073" s="619" t="s">
        <v>2132</v>
      </c>
      <c r="K2073" s="618"/>
      <c r="L2073" s="619">
        <v>86</v>
      </c>
      <c r="M2073" s="620">
        <v>81</v>
      </c>
      <c r="N2073" s="619"/>
      <c r="O2073" s="619">
        <v>14</v>
      </c>
      <c r="P2073" s="619" t="s">
        <v>760</v>
      </c>
      <c r="Q2073" s="662" t="s">
        <v>1002</v>
      </c>
      <c r="R2073" s="618"/>
      <c r="S2073" s="621" t="s">
        <v>2907</v>
      </c>
      <c r="T2073" s="619" t="s">
        <v>1946</v>
      </c>
    </row>
    <row r="2074" spans="1:20">
      <c r="A2074" s="630">
        <v>1202290</v>
      </c>
      <c r="B2074" s="628"/>
      <c r="C2074" s="623"/>
      <c r="D2074" s="623"/>
      <c r="E2074" s="627" t="s">
        <v>2911</v>
      </c>
      <c r="F2074" s="631" t="s">
        <v>2912</v>
      </c>
      <c r="G2074" s="661">
        <v>120</v>
      </c>
      <c r="H2074" s="633">
        <v>2290</v>
      </c>
      <c r="I2074" s="618"/>
      <c r="J2074" s="619" t="s">
        <v>2911</v>
      </c>
      <c r="K2074" s="618"/>
      <c r="L2074" s="619">
        <v>86</v>
      </c>
      <c r="M2074" s="620">
        <v>81</v>
      </c>
      <c r="N2074" s="619"/>
      <c r="O2074" s="619">
        <v>14</v>
      </c>
      <c r="P2074" s="619" t="s">
        <v>760</v>
      </c>
      <c r="Q2074" s="662" t="s">
        <v>1002</v>
      </c>
      <c r="R2074" s="618"/>
      <c r="S2074" s="621" t="s">
        <v>2907</v>
      </c>
      <c r="T2074" s="619" t="s">
        <v>2177</v>
      </c>
    </row>
    <row r="2075" spans="1:20">
      <c r="A2075" s="630">
        <v>1402290</v>
      </c>
      <c r="B2075" s="628"/>
      <c r="C2075" s="623"/>
      <c r="D2075" s="623"/>
      <c r="E2075" s="627" t="s">
        <v>1110</v>
      </c>
      <c r="F2075" s="631" t="s">
        <v>2913</v>
      </c>
      <c r="G2075" s="661">
        <v>140</v>
      </c>
      <c r="H2075" s="633">
        <v>2290</v>
      </c>
      <c r="I2075" s="618"/>
      <c r="J2075" s="619" t="s">
        <v>1110</v>
      </c>
      <c r="K2075" s="618"/>
      <c r="L2075" s="619">
        <v>86</v>
      </c>
      <c r="M2075" s="620">
        <v>81</v>
      </c>
      <c r="N2075" s="619"/>
      <c r="O2075" s="619">
        <v>14</v>
      </c>
      <c r="P2075" s="619" t="s">
        <v>760</v>
      </c>
      <c r="Q2075" s="662" t="s">
        <v>1002</v>
      </c>
      <c r="R2075" s="618"/>
      <c r="S2075" s="621" t="s">
        <v>2907</v>
      </c>
      <c r="T2075" s="619" t="s">
        <v>1017</v>
      </c>
    </row>
    <row r="2076" spans="1:20">
      <c r="A2076" s="630">
        <v>3002290</v>
      </c>
      <c r="B2076" s="628"/>
      <c r="C2076" s="623"/>
      <c r="D2076" s="623" t="s">
        <v>775</v>
      </c>
      <c r="E2076" s="627" t="s">
        <v>2565</v>
      </c>
      <c r="F2076" s="631" t="s">
        <v>2914</v>
      </c>
      <c r="G2076" s="661">
        <v>300</v>
      </c>
      <c r="H2076" s="633">
        <v>2290</v>
      </c>
      <c r="I2076" s="618"/>
      <c r="J2076" s="619" t="s">
        <v>2565</v>
      </c>
      <c r="K2076" s="618"/>
      <c r="L2076" s="619">
        <v>101</v>
      </c>
      <c r="M2076" s="620">
        <v>96</v>
      </c>
      <c r="N2076" s="619"/>
      <c r="O2076" s="619">
        <v>14</v>
      </c>
      <c r="P2076" s="619" t="s">
        <v>760</v>
      </c>
      <c r="Q2076" s="662"/>
      <c r="R2076" s="618"/>
      <c r="S2076" s="621" t="s">
        <v>2907</v>
      </c>
      <c r="T2076" s="619" t="s">
        <v>2565</v>
      </c>
    </row>
    <row r="2077" spans="1:20">
      <c r="A2077" s="622"/>
      <c r="B2077" s="628"/>
      <c r="C2077" s="623"/>
      <c r="D2077" s="623" t="s">
        <v>799</v>
      </c>
      <c r="E2077" s="627" t="s">
        <v>250</v>
      </c>
      <c r="F2077" s="626"/>
      <c r="G2077" s="623"/>
      <c r="H2077" s="627"/>
      <c r="I2077" s="618"/>
      <c r="J2077" s="618"/>
      <c r="K2077" s="618"/>
      <c r="L2077" s="618"/>
      <c r="M2077" s="618"/>
      <c r="N2077" s="618"/>
      <c r="O2077" s="618"/>
      <c r="P2077" s="618"/>
      <c r="Q2077" s="662"/>
      <c r="R2077" s="618"/>
      <c r="S2077" s="621"/>
      <c r="T2077" s="618"/>
    </row>
    <row r="2078" spans="1:20">
      <c r="A2078" s="630">
        <v>4302290</v>
      </c>
      <c r="B2078" s="628"/>
      <c r="C2078" s="623"/>
      <c r="D2078" s="623"/>
      <c r="E2078" s="627" t="s">
        <v>1114</v>
      </c>
      <c r="F2078" s="631" t="s">
        <v>2915</v>
      </c>
      <c r="G2078" s="661">
        <v>430</v>
      </c>
      <c r="H2078" s="633">
        <v>2290</v>
      </c>
      <c r="I2078" s="618"/>
      <c r="J2078" s="619" t="s">
        <v>1114</v>
      </c>
      <c r="K2078" s="618"/>
      <c r="L2078" s="619">
        <v>107</v>
      </c>
      <c r="M2078" s="620">
        <v>102</v>
      </c>
      <c r="N2078" s="619"/>
      <c r="O2078" s="619">
        <v>14</v>
      </c>
      <c r="P2078" s="619" t="s">
        <v>760</v>
      </c>
      <c r="Q2078" s="662"/>
      <c r="R2078" s="618"/>
      <c r="S2078" s="621" t="s">
        <v>2907</v>
      </c>
      <c r="T2078" s="619" t="s">
        <v>1021</v>
      </c>
    </row>
    <row r="2079" spans="1:20">
      <c r="A2079" s="630">
        <v>4422290</v>
      </c>
      <c r="B2079" s="628"/>
      <c r="C2079" s="623"/>
      <c r="D2079" s="623"/>
      <c r="E2079" s="627" t="s">
        <v>1116</v>
      </c>
      <c r="F2079" s="631" t="s">
        <v>2916</v>
      </c>
      <c r="G2079" s="661">
        <v>442</v>
      </c>
      <c r="H2079" s="633">
        <v>2290</v>
      </c>
      <c r="I2079" s="618"/>
      <c r="J2079" s="619" t="s">
        <v>1116</v>
      </c>
      <c r="K2079" s="618"/>
      <c r="L2079" s="619">
        <v>106</v>
      </c>
      <c r="M2079" s="620">
        <v>101</v>
      </c>
      <c r="N2079" s="619"/>
      <c r="O2079" s="619">
        <v>14</v>
      </c>
      <c r="P2079" s="619" t="s">
        <v>760</v>
      </c>
      <c r="Q2079" s="662"/>
      <c r="R2079" s="618"/>
      <c r="S2079" s="621" t="s">
        <v>2907</v>
      </c>
      <c r="T2079" s="619" t="s">
        <v>1023</v>
      </c>
    </row>
    <row r="2080" spans="1:20">
      <c r="A2080" s="630">
        <v>4002290</v>
      </c>
      <c r="B2080" s="628"/>
      <c r="C2080" s="623"/>
      <c r="D2080" s="623"/>
      <c r="E2080" s="627" t="s">
        <v>1118</v>
      </c>
      <c r="F2080" s="631" t="s">
        <v>2917</v>
      </c>
      <c r="G2080" s="661">
        <v>400</v>
      </c>
      <c r="H2080" s="633">
        <v>2290</v>
      </c>
      <c r="I2080" s="618"/>
      <c r="J2080" s="619" t="s">
        <v>1118</v>
      </c>
      <c r="K2080" s="618"/>
      <c r="L2080" s="619">
        <v>108</v>
      </c>
      <c r="M2080" s="620">
        <v>103</v>
      </c>
      <c r="N2080" s="619"/>
      <c r="O2080" s="619">
        <v>14</v>
      </c>
      <c r="P2080" s="619" t="s">
        <v>760</v>
      </c>
      <c r="Q2080" s="662"/>
      <c r="R2080" s="618"/>
      <c r="S2080" s="621" t="s">
        <v>2907</v>
      </c>
      <c r="T2080" s="619" t="s">
        <v>1025</v>
      </c>
    </row>
    <row r="2081" spans="1:20">
      <c r="A2081" s="622"/>
      <c r="B2081" s="628"/>
      <c r="C2081" s="623"/>
      <c r="D2081" s="623" t="s">
        <v>803</v>
      </c>
      <c r="E2081" s="627" t="s">
        <v>252</v>
      </c>
      <c r="F2081" s="626"/>
      <c r="G2081" s="623"/>
      <c r="H2081" s="627"/>
      <c r="I2081" s="618"/>
      <c r="J2081" s="618"/>
      <c r="K2081" s="618"/>
      <c r="L2081" s="618"/>
      <c r="M2081" s="618"/>
      <c r="N2081" s="618"/>
      <c r="O2081" s="618"/>
      <c r="P2081" s="618"/>
      <c r="Q2081" s="662"/>
      <c r="R2081" s="618"/>
      <c r="S2081" s="621"/>
      <c r="T2081" s="618"/>
    </row>
    <row r="2082" spans="1:20">
      <c r="A2082" s="630">
        <v>5822290</v>
      </c>
      <c r="B2082" s="628"/>
      <c r="C2082" s="623"/>
      <c r="D2082" s="623"/>
      <c r="E2082" s="627" t="s">
        <v>1863</v>
      </c>
      <c r="F2082" s="631" t="s">
        <v>2918</v>
      </c>
      <c r="G2082" s="661">
        <v>582</v>
      </c>
      <c r="H2082" s="633">
        <v>2290</v>
      </c>
      <c r="I2082" s="618"/>
      <c r="J2082" s="619" t="s">
        <v>1863</v>
      </c>
      <c r="K2082" s="618"/>
      <c r="L2082" s="619">
        <v>118</v>
      </c>
      <c r="M2082" s="620">
        <v>109</v>
      </c>
      <c r="N2082" s="619"/>
      <c r="O2082" s="619">
        <v>14</v>
      </c>
      <c r="P2082" s="619" t="s">
        <v>760</v>
      </c>
      <c r="Q2082" s="662"/>
      <c r="R2082" s="618"/>
      <c r="S2082" s="621" t="s">
        <v>2907</v>
      </c>
      <c r="T2082" s="619" t="s">
        <v>1037</v>
      </c>
    </row>
    <row r="2083" spans="1:20">
      <c r="A2083" s="630">
        <v>5002290</v>
      </c>
      <c r="B2083" s="628"/>
      <c r="C2083" s="623"/>
      <c r="D2083" s="623"/>
      <c r="E2083" s="627" t="s">
        <v>1865</v>
      </c>
      <c r="F2083" s="631" t="s">
        <v>2919</v>
      </c>
      <c r="G2083" s="661">
        <v>500</v>
      </c>
      <c r="H2083" s="633">
        <v>2290</v>
      </c>
      <c r="I2083" s="618"/>
      <c r="J2083" s="619" t="s">
        <v>1865</v>
      </c>
      <c r="K2083" s="618"/>
      <c r="L2083" s="619">
        <v>119</v>
      </c>
      <c r="M2083" s="620">
        <v>110</v>
      </c>
      <c r="N2083" s="619"/>
      <c r="O2083" s="619">
        <v>14</v>
      </c>
      <c r="P2083" s="619" t="s">
        <v>760</v>
      </c>
      <c r="Q2083" s="662"/>
      <c r="R2083" s="618"/>
      <c r="S2083" s="621" t="s">
        <v>2907</v>
      </c>
      <c r="T2083" s="619" t="s">
        <v>252</v>
      </c>
    </row>
    <row r="2084" spans="1:20">
      <c r="A2084" s="622"/>
      <c r="B2084" s="628"/>
      <c r="C2084" s="623"/>
      <c r="D2084" s="623" t="s">
        <v>848</v>
      </c>
      <c r="E2084" s="627" t="s">
        <v>254</v>
      </c>
      <c r="F2084" s="626"/>
      <c r="G2084" s="623"/>
      <c r="H2084" s="627"/>
      <c r="I2084" s="618"/>
      <c r="J2084" s="618"/>
      <c r="K2084" s="618"/>
      <c r="L2084" s="618"/>
      <c r="M2084" s="618"/>
      <c r="N2084" s="618"/>
      <c r="O2084" s="618"/>
      <c r="P2084" s="618"/>
      <c r="Q2084" s="662"/>
      <c r="R2084" s="618"/>
      <c r="S2084" s="621"/>
      <c r="T2084" s="618"/>
    </row>
    <row r="2085" spans="1:20">
      <c r="A2085" s="630">
        <v>6152290</v>
      </c>
      <c r="B2085" s="628"/>
      <c r="C2085" s="623"/>
      <c r="D2085" s="623"/>
      <c r="E2085" s="627" t="s">
        <v>1138</v>
      </c>
      <c r="F2085" s="631" t="s">
        <v>2920</v>
      </c>
      <c r="G2085" s="661">
        <v>615</v>
      </c>
      <c r="H2085" s="633">
        <v>2290</v>
      </c>
      <c r="I2085" s="618"/>
      <c r="J2085" s="619" t="s">
        <v>1138</v>
      </c>
      <c r="K2085" s="618"/>
      <c r="L2085" s="619">
        <v>126</v>
      </c>
      <c r="M2085" s="620">
        <v>117</v>
      </c>
      <c r="N2085" s="619"/>
      <c r="O2085" s="619">
        <v>14</v>
      </c>
      <c r="P2085" s="619" t="s">
        <v>760</v>
      </c>
      <c r="Q2085" s="662" t="s">
        <v>1043</v>
      </c>
      <c r="R2085" s="618"/>
      <c r="S2085" s="621" t="s">
        <v>2907</v>
      </c>
      <c r="T2085" s="619" t="s">
        <v>1041</v>
      </c>
    </row>
    <row r="2086" spans="1:20">
      <c r="A2086" s="630">
        <v>6102290</v>
      </c>
      <c r="B2086" s="628"/>
      <c r="C2086" s="623"/>
      <c r="D2086" s="623"/>
      <c r="E2086" s="627" t="s">
        <v>1140</v>
      </c>
      <c r="F2086" s="631" t="s">
        <v>2921</v>
      </c>
      <c r="G2086" s="661">
        <v>610</v>
      </c>
      <c r="H2086" s="633">
        <v>2290</v>
      </c>
      <c r="I2086" s="618"/>
      <c r="J2086" s="619" t="s">
        <v>1140</v>
      </c>
      <c r="K2086" s="618"/>
      <c r="L2086" s="619">
        <v>122</v>
      </c>
      <c r="M2086" s="620">
        <v>113</v>
      </c>
      <c r="N2086" s="619"/>
      <c r="O2086" s="619">
        <v>14</v>
      </c>
      <c r="P2086" s="619" t="s">
        <v>760</v>
      </c>
      <c r="Q2086" s="662" t="s">
        <v>1043</v>
      </c>
      <c r="R2086" s="618"/>
      <c r="S2086" s="621" t="s">
        <v>2907</v>
      </c>
      <c r="T2086" s="619" t="s">
        <v>39</v>
      </c>
    </row>
    <row r="2087" spans="1:20">
      <c r="A2087" s="630">
        <v>6002290</v>
      </c>
      <c r="B2087" s="628"/>
      <c r="C2087" s="623"/>
      <c r="D2087" s="623"/>
      <c r="E2087" s="627" t="s">
        <v>1869</v>
      </c>
      <c r="F2087" s="631" t="s">
        <v>2922</v>
      </c>
      <c r="G2087" s="661">
        <v>600</v>
      </c>
      <c r="H2087" s="633">
        <v>2290</v>
      </c>
      <c r="I2087" s="618"/>
      <c r="J2087" s="619" t="s">
        <v>1869</v>
      </c>
      <c r="K2087" s="618"/>
      <c r="L2087" s="619">
        <v>126</v>
      </c>
      <c r="M2087" s="620">
        <v>117</v>
      </c>
      <c r="N2087" s="619"/>
      <c r="O2087" s="619">
        <v>14</v>
      </c>
      <c r="P2087" s="619" t="s">
        <v>760</v>
      </c>
      <c r="Q2087" s="662"/>
      <c r="R2087" s="618"/>
      <c r="S2087" s="621" t="s">
        <v>2907</v>
      </c>
      <c r="T2087" s="619" t="s">
        <v>1048</v>
      </c>
    </row>
    <row r="2088" spans="1:20">
      <c r="A2088" s="622"/>
      <c r="B2088" s="628"/>
      <c r="C2088" s="623"/>
      <c r="D2088" s="623" t="s">
        <v>851</v>
      </c>
      <c r="E2088" s="627" t="s">
        <v>1050</v>
      </c>
      <c r="F2088" s="626"/>
      <c r="G2088" s="623"/>
      <c r="H2088" s="627"/>
      <c r="I2088" s="618"/>
      <c r="J2088" s="618"/>
      <c r="K2088" s="618"/>
      <c r="L2088" s="618"/>
      <c r="M2088" s="618"/>
      <c r="N2088" s="618"/>
      <c r="O2088" s="618"/>
      <c r="P2088" s="618"/>
      <c r="Q2088" s="662"/>
      <c r="R2088" s="618"/>
      <c r="S2088" s="621"/>
      <c r="T2088" s="618"/>
    </row>
    <row r="2089" spans="1:20">
      <c r="A2089" s="630">
        <v>7342290</v>
      </c>
      <c r="B2089" s="628"/>
      <c r="C2089" s="623"/>
      <c r="D2089" s="623"/>
      <c r="E2089" s="627" t="s">
        <v>1146</v>
      </c>
      <c r="F2089" s="631" t="s">
        <v>2923</v>
      </c>
      <c r="G2089" s="661">
        <v>734</v>
      </c>
      <c r="H2089" s="633">
        <v>2290</v>
      </c>
      <c r="I2089" s="618"/>
      <c r="J2089" s="619" t="s">
        <v>1146</v>
      </c>
      <c r="K2089" s="618"/>
      <c r="L2089" s="619">
        <v>131</v>
      </c>
      <c r="M2089" s="620">
        <v>122</v>
      </c>
      <c r="N2089" s="619"/>
      <c r="O2089" s="619">
        <v>14</v>
      </c>
      <c r="P2089" s="619" t="s">
        <v>760</v>
      </c>
      <c r="Q2089" s="662"/>
      <c r="R2089" s="618"/>
      <c r="S2089" s="621" t="s">
        <v>2907</v>
      </c>
      <c r="T2089" s="619" t="s">
        <v>1051</v>
      </c>
    </row>
    <row r="2090" spans="1:20">
      <c r="A2090" s="630">
        <v>7352290</v>
      </c>
      <c r="B2090" s="628"/>
      <c r="C2090" s="623"/>
      <c r="D2090" s="623"/>
      <c r="E2090" s="627" t="s">
        <v>1148</v>
      </c>
      <c r="F2090" s="631" t="s">
        <v>2924</v>
      </c>
      <c r="G2090" s="661">
        <v>735</v>
      </c>
      <c r="H2090" s="633">
        <v>2290</v>
      </c>
      <c r="I2090" s="618"/>
      <c r="J2090" s="619" t="s">
        <v>1148</v>
      </c>
      <c r="K2090" s="618"/>
      <c r="L2090" s="619">
        <v>131</v>
      </c>
      <c r="M2090" s="620">
        <v>122</v>
      </c>
      <c r="N2090" s="619"/>
      <c r="O2090" s="619">
        <v>14</v>
      </c>
      <c r="P2090" s="619" t="s">
        <v>760</v>
      </c>
      <c r="Q2090" s="662"/>
      <c r="R2090" s="618"/>
      <c r="S2090" s="621" t="s">
        <v>2907</v>
      </c>
      <c r="T2090" s="619" t="s">
        <v>1053</v>
      </c>
    </row>
    <row r="2091" spans="1:20">
      <c r="A2091" s="630">
        <v>7302290</v>
      </c>
      <c r="B2091" s="628"/>
      <c r="C2091" s="623"/>
      <c r="D2091" s="623"/>
      <c r="E2091" s="627" t="s">
        <v>1150</v>
      </c>
      <c r="F2091" s="631" t="s">
        <v>2925</v>
      </c>
      <c r="G2091" s="661">
        <v>730</v>
      </c>
      <c r="H2091" s="633">
        <v>2290</v>
      </c>
      <c r="I2091" s="618"/>
      <c r="J2091" s="619" t="s">
        <v>1150</v>
      </c>
      <c r="K2091" s="618"/>
      <c r="L2091" s="619">
        <v>131</v>
      </c>
      <c r="M2091" s="620">
        <v>122</v>
      </c>
      <c r="N2091" s="619"/>
      <c r="O2091" s="619">
        <v>14</v>
      </c>
      <c r="P2091" s="619" t="s">
        <v>760</v>
      </c>
      <c r="Q2091" s="662"/>
      <c r="R2091" s="618"/>
      <c r="S2091" s="621" t="s">
        <v>2907</v>
      </c>
      <c r="T2091" s="619" t="s">
        <v>1055</v>
      </c>
    </row>
    <row r="2092" spans="1:20">
      <c r="A2092" s="630">
        <v>7002290</v>
      </c>
      <c r="B2092" s="628"/>
      <c r="C2092" s="623"/>
      <c r="D2092" s="623"/>
      <c r="E2092" s="627" t="s">
        <v>1152</v>
      </c>
      <c r="F2092" s="631" t="s">
        <v>2926</v>
      </c>
      <c r="G2092" s="661">
        <v>700</v>
      </c>
      <c r="H2092" s="633">
        <v>2290</v>
      </c>
      <c r="I2092" s="618"/>
      <c r="J2092" s="619" t="s">
        <v>1152</v>
      </c>
      <c r="K2092" s="618"/>
      <c r="L2092" s="619">
        <v>132</v>
      </c>
      <c r="M2092" s="620">
        <v>123</v>
      </c>
      <c r="N2092" s="619"/>
      <c r="O2092" s="619">
        <v>14</v>
      </c>
      <c r="P2092" s="619" t="s">
        <v>760</v>
      </c>
      <c r="Q2092" s="662"/>
      <c r="R2092" s="618"/>
      <c r="S2092" s="621" t="s">
        <v>2907</v>
      </c>
      <c r="T2092" s="619" t="s">
        <v>1057</v>
      </c>
    </row>
    <row r="2093" spans="1:20">
      <c r="A2093" s="622"/>
      <c r="B2093" s="628"/>
      <c r="C2093" s="623"/>
      <c r="D2093" s="623" t="s">
        <v>854</v>
      </c>
      <c r="E2093" s="627" t="s">
        <v>256</v>
      </c>
      <c r="F2093" s="626"/>
      <c r="G2093" s="623"/>
      <c r="H2093" s="627"/>
      <c r="I2093" s="618"/>
      <c r="J2093" s="618"/>
      <c r="K2093" s="618"/>
      <c r="L2093" s="618"/>
      <c r="M2093" s="618"/>
      <c r="N2093" s="618"/>
      <c r="O2093" s="618"/>
      <c r="P2093" s="618"/>
      <c r="Q2093" s="662"/>
      <c r="R2093" s="618"/>
      <c r="S2093" s="621"/>
      <c r="T2093" s="618"/>
    </row>
    <row r="2094" spans="1:20">
      <c r="A2094" s="630">
        <v>8952290</v>
      </c>
      <c r="B2094" s="628"/>
      <c r="C2094" s="623"/>
      <c r="D2094" s="623"/>
      <c r="E2094" s="627" t="s">
        <v>1154</v>
      </c>
      <c r="F2094" s="631" t="s">
        <v>2927</v>
      </c>
      <c r="G2094" s="661">
        <v>895</v>
      </c>
      <c r="H2094" s="633">
        <v>2290</v>
      </c>
      <c r="I2094" s="618"/>
      <c r="J2094" s="619" t="s">
        <v>1154</v>
      </c>
      <c r="K2094" s="618"/>
      <c r="L2094" s="619">
        <v>139</v>
      </c>
      <c r="M2094" s="620">
        <v>129</v>
      </c>
      <c r="N2094" s="619"/>
      <c r="O2094" s="619">
        <v>14</v>
      </c>
      <c r="P2094" s="619" t="s">
        <v>760</v>
      </c>
      <c r="Q2094" s="662"/>
      <c r="R2094" s="618"/>
      <c r="S2094" s="621" t="s">
        <v>2907</v>
      </c>
      <c r="T2094" s="619" t="s">
        <v>1059</v>
      </c>
    </row>
    <row r="2095" spans="1:20">
      <c r="A2095" s="630">
        <v>8002290</v>
      </c>
      <c r="B2095" s="628"/>
      <c r="C2095" s="623"/>
      <c r="D2095" s="623"/>
      <c r="E2095" s="627" t="s">
        <v>1156</v>
      </c>
      <c r="F2095" s="631" t="s">
        <v>2928</v>
      </c>
      <c r="G2095" s="661">
        <v>800</v>
      </c>
      <c r="H2095" s="633">
        <v>2290</v>
      </c>
      <c r="I2095" s="618"/>
      <c r="J2095" s="619" t="s">
        <v>1156</v>
      </c>
      <c r="K2095" s="618"/>
      <c r="L2095" s="619">
        <v>139</v>
      </c>
      <c r="M2095" s="620">
        <v>129</v>
      </c>
      <c r="N2095" s="619"/>
      <c r="O2095" s="619">
        <v>14</v>
      </c>
      <c r="P2095" s="619" t="s">
        <v>760</v>
      </c>
      <c r="Q2095" s="662"/>
      <c r="R2095" s="618"/>
      <c r="S2095" s="621" t="s">
        <v>2907</v>
      </c>
      <c r="T2095" s="619" t="s">
        <v>1061</v>
      </c>
    </row>
    <row r="2096" spans="1:20">
      <c r="A2096" s="622"/>
      <c r="B2096" s="628"/>
      <c r="C2096" s="623"/>
      <c r="D2096" s="623" t="s">
        <v>857</v>
      </c>
      <c r="E2096" s="627" t="s">
        <v>1063</v>
      </c>
      <c r="F2096" s="626"/>
      <c r="G2096" s="623"/>
      <c r="H2096" s="627"/>
      <c r="I2096" s="618"/>
      <c r="J2096" s="618"/>
      <c r="K2096" s="618"/>
      <c r="L2096" s="618"/>
      <c r="M2096" s="618"/>
      <c r="N2096" s="618"/>
      <c r="O2096" s="618"/>
      <c r="P2096" s="618"/>
      <c r="Q2096" s="662"/>
      <c r="R2096" s="618"/>
      <c r="S2096" s="621"/>
      <c r="T2096" s="618"/>
    </row>
    <row r="2097" spans="1:20">
      <c r="A2097" s="630">
        <v>2102290</v>
      </c>
      <c r="B2097" s="628"/>
      <c r="C2097" s="623"/>
      <c r="D2097" s="623"/>
      <c r="E2097" s="627" t="s">
        <v>1158</v>
      </c>
      <c r="F2097" s="631" t="s">
        <v>2929</v>
      </c>
      <c r="G2097" s="661">
        <v>210</v>
      </c>
      <c r="H2097" s="633">
        <v>2290</v>
      </c>
      <c r="I2097" s="618"/>
      <c r="J2097" s="619" t="s">
        <v>1158</v>
      </c>
      <c r="K2097" s="618"/>
      <c r="L2097" s="619">
        <v>89</v>
      </c>
      <c r="M2097" s="620">
        <v>84</v>
      </c>
      <c r="N2097" s="619"/>
      <c r="O2097" s="619">
        <v>14</v>
      </c>
      <c r="P2097" s="619" t="s">
        <v>760</v>
      </c>
      <c r="Q2097" s="662" t="s">
        <v>1002</v>
      </c>
      <c r="R2097" s="618"/>
      <c r="S2097" s="621" t="s">
        <v>2907</v>
      </c>
      <c r="T2097" s="619" t="s">
        <v>1064</v>
      </c>
    </row>
    <row r="2098" spans="1:20">
      <c r="A2098" s="630">
        <v>2202290</v>
      </c>
      <c r="B2098" s="628"/>
      <c r="C2098" s="623"/>
      <c r="D2098" s="623"/>
      <c r="E2098" s="627" t="s">
        <v>1160</v>
      </c>
      <c r="F2098" s="631" t="s">
        <v>2930</v>
      </c>
      <c r="G2098" s="661">
        <v>220</v>
      </c>
      <c r="H2098" s="633">
        <v>2290</v>
      </c>
      <c r="I2098" s="618"/>
      <c r="J2098" s="619" t="s">
        <v>1160</v>
      </c>
      <c r="K2098" s="618"/>
      <c r="L2098" s="619">
        <v>90</v>
      </c>
      <c r="M2098" s="620">
        <v>85</v>
      </c>
      <c r="N2098" s="619"/>
      <c r="O2098" s="619">
        <v>14</v>
      </c>
      <c r="P2098" s="619" t="s">
        <v>760</v>
      </c>
      <c r="Q2098" s="662" t="s">
        <v>1002</v>
      </c>
      <c r="R2098" s="618"/>
      <c r="S2098" s="621" t="s">
        <v>2907</v>
      </c>
      <c r="T2098" s="619" t="s">
        <v>1066</v>
      </c>
    </row>
    <row r="2099" spans="1:20">
      <c r="A2099" s="630">
        <v>2252290</v>
      </c>
      <c r="B2099" s="628"/>
      <c r="C2099" s="623"/>
      <c r="D2099" s="623"/>
      <c r="E2099" s="627" t="s">
        <v>1162</v>
      </c>
      <c r="F2099" s="631" t="s">
        <v>2931</v>
      </c>
      <c r="G2099" s="661">
        <v>225</v>
      </c>
      <c r="H2099" s="633">
        <v>2290</v>
      </c>
      <c r="I2099" s="618"/>
      <c r="J2099" s="619" t="s">
        <v>1162</v>
      </c>
      <c r="K2099" s="618"/>
      <c r="L2099" s="619">
        <v>91</v>
      </c>
      <c r="M2099" s="620">
        <v>86</v>
      </c>
      <c r="N2099" s="619"/>
      <c r="O2099" s="619">
        <v>14</v>
      </c>
      <c r="P2099" s="619" t="s">
        <v>760</v>
      </c>
      <c r="Q2099" s="662" t="s">
        <v>1002</v>
      </c>
      <c r="R2099" s="618"/>
      <c r="S2099" s="621" t="s">
        <v>2907</v>
      </c>
      <c r="T2099" s="619" t="s">
        <v>23</v>
      </c>
    </row>
    <row r="2100" spans="1:20">
      <c r="A2100" s="622"/>
      <c r="B2100" s="628"/>
      <c r="C2100" s="623"/>
      <c r="D2100" s="623"/>
      <c r="E2100" s="627" t="s">
        <v>1164</v>
      </c>
      <c r="F2100" s="626"/>
      <c r="G2100" s="623"/>
      <c r="H2100" s="627"/>
      <c r="I2100" s="618"/>
      <c r="J2100" s="618"/>
      <c r="K2100" s="618"/>
      <c r="L2100" s="618"/>
      <c r="M2100" s="618"/>
      <c r="N2100" s="618"/>
      <c r="O2100" s="618"/>
      <c r="P2100" s="618"/>
      <c r="Q2100" s="662"/>
      <c r="R2100" s="618"/>
      <c r="S2100" s="621"/>
      <c r="T2100" s="618"/>
    </row>
    <row r="2101" spans="1:20">
      <c r="A2101" s="630">
        <v>2312290</v>
      </c>
      <c r="B2101" s="628"/>
      <c r="C2101" s="623"/>
      <c r="D2101" s="623"/>
      <c r="E2101" s="627" t="s">
        <v>1165</v>
      </c>
      <c r="F2101" s="631" t="s">
        <v>2932</v>
      </c>
      <c r="G2101" s="661">
        <v>231</v>
      </c>
      <c r="H2101" s="633">
        <v>2290</v>
      </c>
      <c r="I2101" s="618"/>
      <c r="J2101" s="619" t="s">
        <v>1165</v>
      </c>
      <c r="K2101" s="618"/>
      <c r="L2101" s="619">
        <v>92</v>
      </c>
      <c r="M2101" s="620">
        <v>87</v>
      </c>
      <c r="N2101" s="619"/>
      <c r="O2101" s="619">
        <v>14</v>
      </c>
      <c r="P2101" s="619" t="s">
        <v>760</v>
      </c>
      <c r="Q2101" s="662" t="s">
        <v>1002</v>
      </c>
      <c r="R2101" s="618"/>
      <c r="S2101" s="621" t="s">
        <v>2907</v>
      </c>
      <c r="T2101" s="619" t="s">
        <v>1072</v>
      </c>
    </row>
    <row r="2102" spans="1:20">
      <c r="A2102" s="630">
        <v>2332290</v>
      </c>
      <c r="B2102" s="628"/>
      <c r="C2102" s="623"/>
      <c r="D2102" s="623"/>
      <c r="E2102" s="627" t="s">
        <v>1167</v>
      </c>
      <c r="F2102" s="631" t="s">
        <v>2933</v>
      </c>
      <c r="G2102" s="661">
        <v>233</v>
      </c>
      <c r="H2102" s="633">
        <v>2290</v>
      </c>
      <c r="I2102" s="618"/>
      <c r="J2102" s="619" t="s">
        <v>1167</v>
      </c>
      <c r="K2102" s="618"/>
      <c r="L2102" s="619">
        <v>92</v>
      </c>
      <c r="M2102" s="620">
        <v>87</v>
      </c>
      <c r="N2102" s="619"/>
      <c r="O2102" s="619">
        <v>14</v>
      </c>
      <c r="P2102" s="619" t="s">
        <v>760</v>
      </c>
      <c r="Q2102" s="662" t="s">
        <v>1002</v>
      </c>
      <c r="R2102" s="618"/>
      <c r="S2102" s="621" t="s">
        <v>2907</v>
      </c>
      <c r="T2102" s="619" t="s">
        <v>1169</v>
      </c>
    </row>
    <row r="2103" spans="1:20">
      <c r="A2103" s="630">
        <v>2392290</v>
      </c>
      <c r="B2103" s="628"/>
      <c r="C2103" s="623"/>
      <c r="D2103" s="623"/>
      <c r="E2103" s="627" t="s">
        <v>1170</v>
      </c>
      <c r="F2103" s="631" t="s">
        <v>2934</v>
      </c>
      <c r="G2103" s="661">
        <v>239</v>
      </c>
      <c r="H2103" s="633">
        <v>2290</v>
      </c>
      <c r="I2103" s="618"/>
      <c r="J2103" s="619" t="s">
        <v>1170</v>
      </c>
      <c r="K2103" s="618"/>
      <c r="L2103" s="619">
        <v>92</v>
      </c>
      <c r="M2103" s="620">
        <v>87</v>
      </c>
      <c r="N2103" s="619"/>
      <c r="O2103" s="619">
        <v>14</v>
      </c>
      <c r="P2103" s="619" t="s">
        <v>760</v>
      </c>
      <c r="Q2103" s="662" t="s">
        <v>1002</v>
      </c>
      <c r="R2103" s="618"/>
      <c r="S2103" s="621" t="s">
        <v>2907</v>
      </c>
      <c r="T2103" s="619" t="s">
        <v>1078</v>
      </c>
    </row>
    <row r="2104" spans="1:20">
      <c r="A2104" s="630">
        <v>2502290</v>
      </c>
      <c r="B2104" s="628"/>
      <c r="C2104" s="623"/>
      <c r="D2104" s="623"/>
      <c r="E2104" s="627" t="s">
        <v>1172</v>
      </c>
      <c r="F2104" s="631" t="s">
        <v>2935</v>
      </c>
      <c r="G2104" s="661">
        <v>250</v>
      </c>
      <c r="H2104" s="633">
        <v>2290</v>
      </c>
      <c r="I2104" s="618"/>
      <c r="J2104" s="619" t="s">
        <v>1172</v>
      </c>
      <c r="K2104" s="618"/>
      <c r="L2104" s="619">
        <v>93</v>
      </c>
      <c r="M2104" s="620">
        <v>88</v>
      </c>
      <c r="N2104" s="619"/>
      <c r="O2104" s="619">
        <v>14</v>
      </c>
      <c r="P2104" s="619" t="s">
        <v>760</v>
      </c>
      <c r="Q2104" s="662" t="s">
        <v>1002</v>
      </c>
      <c r="R2104" s="618"/>
      <c r="S2104" s="621" t="s">
        <v>2907</v>
      </c>
      <c r="T2104" s="619" t="s">
        <v>1079</v>
      </c>
    </row>
    <row r="2105" spans="1:20">
      <c r="A2105" s="630">
        <v>2602290</v>
      </c>
      <c r="B2105" s="628"/>
      <c r="C2105" s="623"/>
      <c r="D2105" s="623"/>
      <c r="E2105" s="627" t="s">
        <v>1174</v>
      </c>
      <c r="F2105" s="631" t="s">
        <v>2936</v>
      </c>
      <c r="G2105" s="661">
        <v>260</v>
      </c>
      <c r="H2105" s="633">
        <v>2290</v>
      </c>
      <c r="I2105" s="618"/>
      <c r="J2105" s="619" t="s">
        <v>1174</v>
      </c>
      <c r="K2105" s="618"/>
      <c r="L2105" s="619">
        <v>95</v>
      </c>
      <c r="M2105" s="620">
        <v>90</v>
      </c>
      <c r="N2105" s="619"/>
      <c r="O2105" s="619">
        <v>14</v>
      </c>
      <c r="P2105" s="619" t="s">
        <v>760</v>
      </c>
      <c r="Q2105" s="662" t="s">
        <v>1002</v>
      </c>
      <c r="R2105" s="618"/>
      <c r="S2105" s="621" t="s">
        <v>2907</v>
      </c>
      <c r="T2105" s="619" t="s">
        <v>1081</v>
      </c>
    </row>
    <row r="2106" spans="1:20">
      <c r="A2106" s="630">
        <v>2702290</v>
      </c>
      <c r="B2106" s="628"/>
      <c r="C2106" s="623"/>
      <c r="D2106" s="623"/>
      <c r="E2106" s="627" t="s">
        <v>1176</v>
      </c>
      <c r="F2106" s="631" t="s">
        <v>2937</v>
      </c>
      <c r="G2106" s="661">
        <v>270</v>
      </c>
      <c r="H2106" s="633">
        <v>2290</v>
      </c>
      <c r="I2106" s="618"/>
      <c r="J2106" s="619" t="s">
        <v>1176</v>
      </c>
      <c r="K2106" s="618"/>
      <c r="L2106" s="619">
        <v>94</v>
      </c>
      <c r="M2106" s="620">
        <v>89</v>
      </c>
      <c r="N2106" s="619"/>
      <c r="O2106" s="619">
        <v>14</v>
      </c>
      <c r="P2106" s="619" t="s">
        <v>760</v>
      </c>
      <c r="Q2106" s="662" t="s">
        <v>1002</v>
      </c>
      <c r="R2106" s="618"/>
      <c r="S2106" s="621" t="s">
        <v>2907</v>
      </c>
      <c r="T2106" s="619" t="s">
        <v>1083</v>
      </c>
    </row>
    <row r="2107" spans="1:20">
      <c r="A2107" s="630">
        <v>2812290</v>
      </c>
      <c r="B2107" s="628"/>
      <c r="C2107" s="623"/>
      <c r="D2107" s="623"/>
      <c r="E2107" s="627" t="s">
        <v>1178</v>
      </c>
      <c r="F2107" s="631" t="s">
        <v>2938</v>
      </c>
      <c r="G2107" s="661">
        <v>281</v>
      </c>
      <c r="H2107" s="633">
        <v>2290</v>
      </c>
      <c r="I2107" s="618"/>
      <c r="J2107" s="619" t="s">
        <v>1178</v>
      </c>
      <c r="K2107" s="618"/>
      <c r="L2107" s="619">
        <v>95</v>
      </c>
      <c r="M2107" s="620">
        <v>90</v>
      </c>
      <c r="N2107" s="619"/>
      <c r="O2107" s="619">
        <v>14</v>
      </c>
      <c r="P2107" s="619" t="s">
        <v>760</v>
      </c>
      <c r="Q2107" s="662" t="s">
        <v>1002</v>
      </c>
      <c r="R2107" s="618"/>
      <c r="S2107" s="621" t="s">
        <v>2907</v>
      </c>
      <c r="T2107" s="619" t="s">
        <v>1085</v>
      </c>
    </row>
    <row r="2108" spans="1:20">
      <c r="A2108" s="630">
        <v>2822290</v>
      </c>
      <c r="B2108" s="628"/>
      <c r="C2108" s="623"/>
      <c r="D2108" s="623"/>
      <c r="E2108" s="627" t="s">
        <v>1180</v>
      </c>
      <c r="F2108" s="631" t="s">
        <v>2939</v>
      </c>
      <c r="G2108" s="661">
        <v>282</v>
      </c>
      <c r="H2108" s="633">
        <v>2290</v>
      </c>
      <c r="I2108" s="618"/>
      <c r="J2108" s="619" t="s">
        <v>1180</v>
      </c>
      <c r="K2108" s="618"/>
      <c r="L2108" s="619">
        <v>95</v>
      </c>
      <c r="M2108" s="620">
        <v>90</v>
      </c>
      <c r="N2108" s="619"/>
      <c r="O2108" s="619">
        <v>14</v>
      </c>
      <c r="P2108" s="619" t="s">
        <v>760</v>
      </c>
      <c r="Q2108" s="662" t="s">
        <v>1002</v>
      </c>
      <c r="R2108" s="618"/>
      <c r="S2108" s="621" t="s">
        <v>2907</v>
      </c>
      <c r="T2108" s="619" t="s">
        <v>1087</v>
      </c>
    </row>
    <row r="2109" spans="1:20" ht="16" thickBot="1">
      <c r="A2109" s="630">
        <v>2902290</v>
      </c>
      <c r="B2109" s="667"/>
      <c r="C2109" s="623"/>
      <c r="D2109" s="623"/>
      <c r="E2109" s="627" t="s">
        <v>1182</v>
      </c>
      <c r="F2109" s="631" t="s">
        <v>2940</v>
      </c>
      <c r="G2109" s="661">
        <v>290</v>
      </c>
      <c r="H2109" s="633">
        <v>2290</v>
      </c>
      <c r="I2109" s="618"/>
      <c r="J2109" s="619" t="s">
        <v>1182</v>
      </c>
      <c r="K2109" s="618"/>
      <c r="L2109" s="619">
        <v>95</v>
      </c>
      <c r="M2109" s="620">
        <v>90</v>
      </c>
      <c r="N2109" s="619"/>
      <c r="O2109" s="619">
        <v>14</v>
      </c>
      <c r="P2109" s="619" t="s">
        <v>760</v>
      </c>
      <c r="Q2109" s="662" t="s">
        <v>1002</v>
      </c>
      <c r="R2109" s="618"/>
      <c r="S2109" s="621" t="s">
        <v>2907</v>
      </c>
      <c r="T2109" s="619" t="s">
        <v>1090</v>
      </c>
    </row>
    <row r="2110" spans="1:20" ht="16.5" thickTop="1" thickBot="1">
      <c r="A2110" s="622"/>
      <c r="B2110" s="613"/>
      <c r="C2110" s="772" t="s">
        <v>2941</v>
      </c>
      <c r="D2110" s="773"/>
      <c r="E2110" s="782"/>
      <c r="F2110" s="656" t="s">
        <v>610</v>
      </c>
      <c r="G2110" s="657"/>
      <c r="H2110" s="658"/>
      <c r="I2110" s="618"/>
      <c r="J2110" s="618"/>
      <c r="K2110" s="618"/>
      <c r="L2110" s="618"/>
      <c r="M2110" s="618"/>
      <c r="N2110" s="618"/>
      <c r="O2110" s="618"/>
      <c r="P2110" s="618"/>
      <c r="Q2110" s="662"/>
      <c r="R2110" s="618"/>
      <c r="S2110" s="621"/>
      <c r="T2110" s="618"/>
    </row>
    <row r="2111" spans="1:20" ht="16" thickTop="1">
      <c r="A2111" s="622"/>
      <c r="B2111" s="623"/>
      <c r="C2111" s="623"/>
      <c r="D2111" s="623"/>
      <c r="E2111" s="627"/>
      <c r="F2111" s="626"/>
      <c r="G2111" s="623"/>
      <c r="H2111" s="627"/>
      <c r="I2111" s="618"/>
      <c r="J2111" s="618"/>
      <c r="K2111" s="618"/>
      <c r="L2111" s="618"/>
      <c r="M2111" s="618"/>
      <c r="N2111" s="618"/>
      <c r="O2111" s="618"/>
      <c r="P2111" s="618"/>
      <c r="Q2111" s="662"/>
      <c r="R2111" s="618"/>
      <c r="S2111" s="621"/>
      <c r="T2111" s="618"/>
    </row>
    <row r="2112" spans="1:20">
      <c r="A2112" s="622"/>
      <c r="B2112" s="628" t="s">
        <v>1227</v>
      </c>
      <c r="C2112" s="770" t="s">
        <v>680</v>
      </c>
      <c r="D2112" s="771"/>
      <c r="E2112" s="775"/>
      <c r="F2112" s="626"/>
      <c r="G2112" s="623"/>
      <c r="H2112" s="627"/>
      <c r="I2112" s="618"/>
      <c r="J2112" s="618"/>
      <c r="K2112" s="618"/>
      <c r="L2112" s="618"/>
      <c r="M2112" s="618"/>
      <c r="N2112" s="618"/>
      <c r="O2112" s="618"/>
      <c r="P2112" s="618"/>
      <c r="Q2112" s="662"/>
      <c r="R2112" s="618"/>
      <c r="S2112" s="621"/>
      <c r="T2112" s="618"/>
    </row>
    <row r="2113" spans="1:20">
      <c r="A2113" s="622"/>
      <c r="B2113" s="628"/>
      <c r="C2113" s="629">
        <v>60</v>
      </c>
      <c r="D2113" s="784" t="s">
        <v>2942</v>
      </c>
      <c r="E2113" s="775"/>
      <c r="F2113" s="626"/>
      <c r="G2113" s="623"/>
      <c r="H2113" s="627"/>
      <c r="I2113" s="618"/>
      <c r="J2113" s="618"/>
      <c r="K2113" s="618"/>
      <c r="L2113" s="618"/>
      <c r="M2113" s="618"/>
      <c r="N2113" s="618"/>
      <c r="O2113" s="618"/>
      <c r="P2113" s="618"/>
      <c r="Q2113" s="662"/>
      <c r="R2113" s="618"/>
      <c r="S2113" s="621"/>
      <c r="T2113" s="618"/>
    </row>
    <row r="2114" spans="1:20">
      <c r="A2114" s="622"/>
      <c r="B2114" s="628"/>
      <c r="C2114" s="623"/>
      <c r="D2114" s="623" t="s">
        <v>756</v>
      </c>
      <c r="E2114" s="627" t="s">
        <v>244</v>
      </c>
      <c r="F2114" s="626"/>
      <c r="G2114" s="623"/>
      <c r="H2114" s="627"/>
      <c r="I2114" s="618"/>
      <c r="J2114" s="618"/>
      <c r="K2114" s="618"/>
      <c r="L2114" s="618"/>
      <c r="M2114" s="618"/>
      <c r="N2114" s="618"/>
      <c r="O2114" s="618"/>
      <c r="P2114" s="618"/>
      <c r="Q2114" s="662"/>
      <c r="R2114" s="618"/>
      <c r="S2114" s="621"/>
      <c r="T2114" s="618"/>
    </row>
    <row r="2115" spans="1:20">
      <c r="A2115" s="630">
        <v>1112311</v>
      </c>
      <c r="B2115" s="628"/>
      <c r="C2115" s="623"/>
      <c r="D2115" s="623"/>
      <c r="E2115" s="627" t="s">
        <v>2943</v>
      </c>
      <c r="F2115" s="631" t="s">
        <v>2944</v>
      </c>
      <c r="G2115" s="661">
        <v>111</v>
      </c>
      <c r="H2115" s="633">
        <v>2311</v>
      </c>
      <c r="I2115" s="618"/>
      <c r="J2115" s="619" t="s">
        <v>2943</v>
      </c>
      <c r="K2115" s="618"/>
      <c r="L2115" s="619">
        <v>81</v>
      </c>
      <c r="M2115" s="620">
        <v>76</v>
      </c>
      <c r="N2115" s="619"/>
      <c r="O2115" s="619">
        <v>15</v>
      </c>
      <c r="P2115" s="619" t="s">
        <v>760</v>
      </c>
      <c r="Q2115" s="662"/>
      <c r="R2115" s="618"/>
      <c r="S2115" s="621" t="s">
        <v>2942</v>
      </c>
      <c r="T2115" s="619" t="s">
        <v>2945</v>
      </c>
    </row>
    <row r="2116" spans="1:20">
      <c r="A2116" s="630">
        <v>1182311</v>
      </c>
      <c r="B2116" s="628"/>
      <c r="C2116" s="623"/>
      <c r="D2116" s="623"/>
      <c r="E2116" s="627" t="s">
        <v>2946</v>
      </c>
      <c r="F2116" s="631" t="s">
        <v>2947</v>
      </c>
      <c r="G2116" s="661">
        <v>118</v>
      </c>
      <c r="H2116" s="633">
        <v>2311</v>
      </c>
      <c r="I2116" s="618"/>
      <c r="J2116" s="619" t="s">
        <v>2946</v>
      </c>
      <c r="K2116" s="618"/>
      <c r="L2116" s="619">
        <v>86</v>
      </c>
      <c r="M2116" s="620">
        <v>81</v>
      </c>
      <c r="N2116" s="619"/>
      <c r="O2116" s="619">
        <v>15</v>
      </c>
      <c r="P2116" s="619" t="s">
        <v>760</v>
      </c>
      <c r="Q2116" s="662"/>
      <c r="R2116" s="618"/>
      <c r="S2116" s="621" t="s">
        <v>2942</v>
      </c>
      <c r="T2116" s="619" t="s">
        <v>2948</v>
      </c>
    </row>
    <row r="2117" spans="1:20">
      <c r="A2117" s="630">
        <v>1142312</v>
      </c>
      <c r="B2117" s="628"/>
      <c r="C2117" s="623"/>
      <c r="D2117" s="623"/>
      <c r="E2117" s="627" t="s">
        <v>2949</v>
      </c>
      <c r="F2117" s="631" t="s">
        <v>2950</v>
      </c>
      <c r="G2117" s="661">
        <v>114</v>
      </c>
      <c r="H2117" s="633">
        <v>2312</v>
      </c>
      <c r="I2117" s="618"/>
      <c r="J2117" s="619" t="s">
        <v>2949</v>
      </c>
      <c r="K2117" s="618"/>
      <c r="L2117" s="619">
        <v>84</v>
      </c>
      <c r="M2117" s="620">
        <v>79</v>
      </c>
      <c r="N2117" s="619"/>
      <c r="O2117" s="619">
        <v>15</v>
      </c>
      <c r="P2117" s="619" t="s">
        <v>760</v>
      </c>
      <c r="Q2117" s="662"/>
      <c r="R2117" s="618"/>
      <c r="S2117" s="621" t="s">
        <v>2942</v>
      </c>
      <c r="T2117" s="619" t="s">
        <v>2951</v>
      </c>
    </row>
    <row r="2118" spans="1:20">
      <c r="A2118" s="630">
        <v>1112315</v>
      </c>
      <c r="B2118" s="628"/>
      <c r="C2118" s="623"/>
      <c r="D2118" s="623"/>
      <c r="E2118" s="627" t="s">
        <v>2952</v>
      </c>
      <c r="F2118" s="631" t="s">
        <v>2953</v>
      </c>
      <c r="G2118" s="661">
        <v>111</v>
      </c>
      <c r="H2118" s="633">
        <v>2315</v>
      </c>
      <c r="I2118" s="618"/>
      <c r="J2118" s="619" t="s">
        <v>2952</v>
      </c>
      <c r="K2118" s="618"/>
      <c r="L2118" s="619">
        <v>81</v>
      </c>
      <c r="M2118" s="620">
        <v>76</v>
      </c>
      <c r="N2118" s="619"/>
      <c r="O2118" s="619">
        <v>15</v>
      </c>
      <c r="P2118" s="619" t="s">
        <v>760</v>
      </c>
      <c r="Q2118" s="662"/>
      <c r="R2118" s="618"/>
      <c r="S2118" s="621" t="s">
        <v>2942</v>
      </c>
      <c r="T2118" s="619" t="s">
        <v>2954</v>
      </c>
    </row>
    <row r="2119" spans="1:20">
      <c r="A2119" s="630">
        <v>1142315</v>
      </c>
      <c r="B2119" s="628"/>
      <c r="C2119" s="623"/>
      <c r="D2119" s="623"/>
      <c r="E2119" s="627" t="s">
        <v>2955</v>
      </c>
      <c r="F2119" s="631" t="s">
        <v>2956</v>
      </c>
      <c r="G2119" s="661">
        <v>114</v>
      </c>
      <c r="H2119" s="633">
        <v>2315</v>
      </c>
      <c r="I2119" s="618"/>
      <c r="J2119" s="619" t="s">
        <v>2955</v>
      </c>
      <c r="K2119" s="618"/>
      <c r="L2119" s="619">
        <v>84</v>
      </c>
      <c r="M2119" s="620">
        <v>79</v>
      </c>
      <c r="N2119" s="619"/>
      <c r="O2119" s="619">
        <v>15</v>
      </c>
      <c r="P2119" s="619" t="s">
        <v>760</v>
      </c>
      <c r="Q2119" s="662"/>
      <c r="R2119" s="618"/>
      <c r="S2119" s="621" t="s">
        <v>2942</v>
      </c>
      <c r="T2119" s="619" t="s">
        <v>2957</v>
      </c>
    </row>
    <row r="2120" spans="1:20">
      <c r="A2120" s="630">
        <v>1002315</v>
      </c>
      <c r="B2120" s="628"/>
      <c r="C2120" s="623"/>
      <c r="D2120" s="623"/>
      <c r="E2120" s="627" t="s">
        <v>2958</v>
      </c>
      <c r="F2120" s="631" t="s">
        <v>2959</v>
      </c>
      <c r="G2120" s="661">
        <v>100</v>
      </c>
      <c r="H2120" s="633">
        <v>2315</v>
      </c>
      <c r="I2120" s="618"/>
      <c r="J2120" s="619" t="s">
        <v>2958</v>
      </c>
      <c r="K2120" s="618"/>
      <c r="L2120" s="619">
        <v>86</v>
      </c>
      <c r="M2120" s="620">
        <v>81</v>
      </c>
      <c r="N2120" s="619"/>
      <c r="O2120" s="619">
        <v>15</v>
      </c>
      <c r="P2120" s="619" t="s">
        <v>760</v>
      </c>
      <c r="Q2120" s="662"/>
      <c r="R2120" s="618"/>
      <c r="S2120" s="621" t="s">
        <v>2942</v>
      </c>
      <c r="T2120" s="619" t="s">
        <v>2960</v>
      </c>
    </row>
    <row r="2121" spans="1:20">
      <c r="A2121" s="630">
        <v>1202310</v>
      </c>
      <c r="B2121" s="628"/>
      <c r="C2121" s="623"/>
      <c r="D2121" s="623"/>
      <c r="E2121" s="627" t="s">
        <v>2961</v>
      </c>
      <c r="F2121" s="631" t="s">
        <v>2962</v>
      </c>
      <c r="G2121" s="661">
        <v>120</v>
      </c>
      <c r="H2121" s="633">
        <v>2310</v>
      </c>
      <c r="I2121" s="618"/>
      <c r="J2121" s="619" t="s">
        <v>2961</v>
      </c>
      <c r="K2121" s="618"/>
      <c r="L2121" s="619">
        <v>86</v>
      </c>
      <c r="M2121" s="620">
        <v>81</v>
      </c>
      <c r="N2121" s="619"/>
      <c r="O2121" s="619">
        <v>15</v>
      </c>
      <c r="P2121" s="619" t="s">
        <v>760</v>
      </c>
      <c r="Q2121" s="662"/>
      <c r="R2121" s="618"/>
      <c r="S2121" s="621" t="s">
        <v>2942</v>
      </c>
      <c r="T2121" s="619" t="s">
        <v>2963</v>
      </c>
    </row>
    <row r="2122" spans="1:20">
      <c r="A2122" s="630">
        <v>1002310</v>
      </c>
      <c r="B2122" s="628"/>
      <c r="C2122" s="623"/>
      <c r="D2122" s="623"/>
      <c r="E2122" s="627" t="s">
        <v>2964</v>
      </c>
      <c r="F2122" s="631" t="s">
        <v>2965</v>
      </c>
      <c r="G2122" s="661">
        <v>100</v>
      </c>
      <c r="H2122" s="633">
        <v>2310</v>
      </c>
      <c r="I2122" s="618"/>
      <c r="J2122" s="619" t="s">
        <v>2964</v>
      </c>
      <c r="K2122" s="618"/>
      <c r="L2122" s="619">
        <v>86</v>
      </c>
      <c r="M2122" s="620">
        <v>81</v>
      </c>
      <c r="N2122" s="619"/>
      <c r="O2122" s="619">
        <v>15</v>
      </c>
      <c r="P2122" s="619" t="s">
        <v>760</v>
      </c>
      <c r="Q2122" s="662"/>
      <c r="R2122" s="618"/>
      <c r="S2122" s="621" t="s">
        <v>2942</v>
      </c>
      <c r="T2122" s="619" t="s">
        <v>2966</v>
      </c>
    </row>
    <row r="2123" spans="1:20">
      <c r="A2123" s="630">
        <v>1402310</v>
      </c>
      <c r="B2123" s="628"/>
      <c r="C2123" s="623"/>
      <c r="D2123" s="623"/>
      <c r="E2123" s="627" t="s">
        <v>2967</v>
      </c>
      <c r="F2123" s="631" t="s">
        <v>2968</v>
      </c>
      <c r="G2123" s="661">
        <v>140</v>
      </c>
      <c r="H2123" s="633">
        <v>2310</v>
      </c>
      <c r="I2123" s="618"/>
      <c r="J2123" s="619" t="s">
        <v>2967</v>
      </c>
      <c r="K2123" s="618"/>
      <c r="L2123" s="619">
        <v>86</v>
      </c>
      <c r="M2123" s="620">
        <v>81</v>
      </c>
      <c r="N2123" s="619"/>
      <c r="O2123" s="619">
        <v>15</v>
      </c>
      <c r="P2123" s="619" t="s">
        <v>760</v>
      </c>
      <c r="Q2123" s="662"/>
      <c r="R2123" s="618"/>
      <c r="S2123" s="621" t="s">
        <v>2942</v>
      </c>
      <c r="T2123" s="619" t="s">
        <v>2969</v>
      </c>
    </row>
    <row r="2124" spans="1:20">
      <c r="A2124" s="622"/>
      <c r="B2124" s="628"/>
      <c r="C2124" s="623"/>
      <c r="D2124" s="623" t="s">
        <v>775</v>
      </c>
      <c r="E2124" s="627" t="s">
        <v>1112</v>
      </c>
      <c r="F2124" s="626"/>
      <c r="G2124" s="623"/>
      <c r="H2124" s="627"/>
      <c r="I2124" s="618"/>
      <c r="J2124" s="618"/>
      <c r="K2124" s="618"/>
      <c r="L2124" s="618"/>
      <c r="M2124" s="618"/>
      <c r="N2124" s="618"/>
      <c r="O2124" s="618"/>
      <c r="P2124" s="618"/>
      <c r="Q2124" s="662"/>
      <c r="R2124" s="618"/>
      <c r="S2124" s="621"/>
      <c r="T2124" s="618"/>
    </row>
    <row r="2125" spans="1:20">
      <c r="A2125" s="622"/>
      <c r="B2125" s="628"/>
      <c r="C2125" s="623"/>
      <c r="D2125" s="623"/>
      <c r="E2125" s="627" t="s">
        <v>2970</v>
      </c>
      <c r="F2125" s="626"/>
      <c r="G2125" s="623"/>
      <c r="H2125" s="627"/>
      <c r="I2125" s="618"/>
      <c r="J2125" s="618"/>
      <c r="K2125" s="618"/>
      <c r="L2125" s="618"/>
      <c r="M2125" s="618"/>
      <c r="N2125" s="618"/>
      <c r="O2125" s="618"/>
      <c r="P2125" s="618"/>
      <c r="Q2125" s="662"/>
      <c r="R2125" s="618"/>
      <c r="S2125" s="621"/>
      <c r="T2125" s="618"/>
    </row>
    <row r="2126" spans="1:20">
      <c r="A2126" s="630">
        <v>3112310</v>
      </c>
      <c r="B2126" s="628"/>
      <c r="C2126" s="623"/>
      <c r="D2126" s="623"/>
      <c r="E2126" s="627" t="s">
        <v>2971</v>
      </c>
      <c r="F2126" s="631" t="s">
        <v>2972</v>
      </c>
      <c r="G2126" s="661">
        <v>311</v>
      </c>
      <c r="H2126" s="633">
        <v>2310</v>
      </c>
      <c r="I2126" s="618"/>
      <c r="J2126" s="619" t="s">
        <v>2971</v>
      </c>
      <c r="K2126" s="618"/>
      <c r="L2126" s="619">
        <v>101</v>
      </c>
      <c r="M2126" s="620">
        <v>96</v>
      </c>
      <c r="N2126" s="619"/>
      <c r="O2126" s="619">
        <v>15</v>
      </c>
      <c r="P2126" s="619" t="s">
        <v>760</v>
      </c>
      <c r="Q2126" s="662"/>
      <c r="R2126" s="618"/>
      <c r="S2126" s="621" t="s">
        <v>2942</v>
      </c>
      <c r="T2126" s="619" t="s">
        <v>2973</v>
      </c>
    </row>
    <row r="2127" spans="1:20">
      <c r="A2127" s="630">
        <v>3122310</v>
      </c>
      <c r="B2127" s="628"/>
      <c r="C2127" s="623"/>
      <c r="D2127" s="623"/>
      <c r="E2127" s="627" t="s">
        <v>2974</v>
      </c>
      <c r="F2127" s="631" t="s">
        <v>2975</v>
      </c>
      <c r="G2127" s="661">
        <v>312</v>
      </c>
      <c r="H2127" s="633">
        <v>2310</v>
      </c>
      <c r="I2127" s="618"/>
      <c r="J2127" s="619" t="s">
        <v>2974</v>
      </c>
      <c r="K2127" s="618"/>
      <c r="L2127" s="619">
        <v>101</v>
      </c>
      <c r="M2127" s="620">
        <v>96</v>
      </c>
      <c r="N2127" s="619"/>
      <c r="O2127" s="619">
        <v>15</v>
      </c>
      <c r="P2127" s="619" t="s">
        <v>760</v>
      </c>
      <c r="Q2127" s="662"/>
      <c r="R2127" s="618"/>
      <c r="S2127" s="621" t="s">
        <v>2942</v>
      </c>
      <c r="T2127" s="619" t="s">
        <v>2976</v>
      </c>
    </row>
    <row r="2128" spans="1:20">
      <c r="A2128" s="630">
        <v>3132310</v>
      </c>
      <c r="B2128" s="628"/>
      <c r="C2128" s="623"/>
      <c r="D2128" s="623"/>
      <c r="E2128" s="627" t="s">
        <v>2977</v>
      </c>
      <c r="F2128" s="631" t="s">
        <v>2978</v>
      </c>
      <c r="G2128" s="661">
        <v>313</v>
      </c>
      <c r="H2128" s="633">
        <v>2310</v>
      </c>
      <c r="I2128" s="618"/>
      <c r="J2128" s="619" t="s">
        <v>2977</v>
      </c>
      <c r="K2128" s="618"/>
      <c r="L2128" s="619">
        <v>101</v>
      </c>
      <c r="M2128" s="620">
        <v>96</v>
      </c>
      <c r="N2128" s="619"/>
      <c r="O2128" s="619">
        <v>15</v>
      </c>
      <c r="P2128" s="619" t="s">
        <v>760</v>
      </c>
      <c r="Q2128" s="662"/>
      <c r="R2128" s="618"/>
      <c r="S2128" s="621" t="s">
        <v>2942</v>
      </c>
      <c r="T2128" s="619" t="s">
        <v>2979</v>
      </c>
    </row>
    <row r="2129" spans="1:20">
      <c r="A2129" s="630">
        <v>3142310</v>
      </c>
      <c r="B2129" s="628"/>
      <c r="C2129" s="623"/>
      <c r="D2129" s="623"/>
      <c r="E2129" s="627" t="s">
        <v>2980</v>
      </c>
      <c r="F2129" s="631" t="s">
        <v>2981</v>
      </c>
      <c r="G2129" s="661">
        <v>314</v>
      </c>
      <c r="H2129" s="633">
        <v>2310</v>
      </c>
      <c r="I2129" s="618"/>
      <c r="J2129" s="619" t="s">
        <v>2980</v>
      </c>
      <c r="K2129" s="618"/>
      <c r="L2129" s="619">
        <v>101</v>
      </c>
      <c r="M2129" s="620">
        <v>96</v>
      </c>
      <c r="N2129" s="619"/>
      <c r="O2129" s="619">
        <v>15</v>
      </c>
      <c r="P2129" s="619" t="s">
        <v>760</v>
      </c>
      <c r="Q2129" s="662"/>
      <c r="R2129" s="618"/>
      <c r="S2129" s="621" t="s">
        <v>2942</v>
      </c>
      <c r="T2129" s="619" t="s">
        <v>2982</v>
      </c>
    </row>
    <row r="2130" spans="1:20">
      <c r="A2130" s="630">
        <v>3152310</v>
      </c>
      <c r="B2130" s="628"/>
      <c r="C2130" s="623"/>
      <c r="D2130" s="623"/>
      <c r="E2130" s="627" t="s">
        <v>2983</v>
      </c>
      <c r="F2130" s="631" t="s">
        <v>2984</v>
      </c>
      <c r="G2130" s="661">
        <v>315</v>
      </c>
      <c r="H2130" s="633">
        <v>2310</v>
      </c>
      <c r="I2130" s="618"/>
      <c r="J2130" s="619" t="s">
        <v>2983</v>
      </c>
      <c r="K2130" s="618"/>
      <c r="L2130" s="619">
        <v>101</v>
      </c>
      <c r="M2130" s="620">
        <v>96</v>
      </c>
      <c r="N2130" s="619"/>
      <c r="O2130" s="619">
        <v>15</v>
      </c>
      <c r="P2130" s="619" t="s">
        <v>760</v>
      </c>
      <c r="Q2130" s="662"/>
      <c r="R2130" s="618"/>
      <c r="S2130" s="621" t="s">
        <v>2942</v>
      </c>
      <c r="T2130" s="619" t="s">
        <v>2985</v>
      </c>
    </row>
    <row r="2131" spans="1:20">
      <c r="A2131" s="630">
        <v>3162310</v>
      </c>
      <c r="B2131" s="628"/>
      <c r="C2131" s="623"/>
      <c r="D2131" s="623"/>
      <c r="E2131" s="627" t="s">
        <v>2986</v>
      </c>
      <c r="F2131" s="631" t="s">
        <v>2987</v>
      </c>
      <c r="G2131" s="661">
        <v>316</v>
      </c>
      <c r="H2131" s="633">
        <v>2310</v>
      </c>
      <c r="I2131" s="618"/>
      <c r="J2131" s="619" t="s">
        <v>2986</v>
      </c>
      <c r="K2131" s="618"/>
      <c r="L2131" s="619">
        <v>101</v>
      </c>
      <c r="M2131" s="620">
        <v>96</v>
      </c>
      <c r="N2131" s="619"/>
      <c r="O2131" s="619">
        <v>15</v>
      </c>
      <c r="P2131" s="619" t="s">
        <v>760</v>
      </c>
      <c r="Q2131" s="662"/>
      <c r="R2131" s="618"/>
      <c r="S2131" s="621" t="s">
        <v>2942</v>
      </c>
      <c r="T2131" s="619" t="s">
        <v>2988</v>
      </c>
    </row>
    <row r="2132" spans="1:20">
      <c r="A2132" s="630">
        <v>3172310</v>
      </c>
      <c r="B2132" s="628"/>
      <c r="C2132" s="623"/>
      <c r="D2132" s="623"/>
      <c r="E2132" s="627" t="s">
        <v>2989</v>
      </c>
      <c r="F2132" s="631" t="s">
        <v>2990</v>
      </c>
      <c r="G2132" s="661">
        <v>317</v>
      </c>
      <c r="H2132" s="633">
        <v>2310</v>
      </c>
      <c r="I2132" s="618"/>
      <c r="J2132" s="619" t="s">
        <v>2989</v>
      </c>
      <c r="K2132" s="618"/>
      <c r="L2132" s="619">
        <v>101</v>
      </c>
      <c r="M2132" s="620">
        <v>96</v>
      </c>
      <c r="N2132" s="619"/>
      <c r="O2132" s="619">
        <v>15</v>
      </c>
      <c r="P2132" s="619" t="s">
        <v>760</v>
      </c>
      <c r="Q2132" s="662"/>
      <c r="R2132" s="618"/>
      <c r="S2132" s="621" t="s">
        <v>2942</v>
      </c>
      <c r="T2132" s="619" t="s">
        <v>2991</v>
      </c>
    </row>
    <row r="2133" spans="1:20">
      <c r="A2133" s="630">
        <v>3192310</v>
      </c>
      <c r="B2133" s="628"/>
      <c r="C2133" s="623"/>
      <c r="D2133" s="623"/>
      <c r="E2133" s="627" t="s">
        <v>2992</v>
      </c>
      <c r="F2133" s="631" t="s">
        <v>2993</v>
      </c>
      <c r="G2133" s="661">
        <v>319</v>
      </c>
      <c r="H2133" s="633">
        <v>2310</v>
      </c>
      <c r="I2133" s="618"/>
      <c r="J2133" s="619" t="s">
        <v>2992</v>
      </c>
      <c r="K2133" s="618"/>
      <c r="L2133" s="619">
        <v>101</v>
      </c>
      <c r="M2133" s="620">
        <v>96</v>
      </c>
      <c r="N2133" s="619"/>
      <c r="O2133" s="619">
        <v>15</v>
      </c>
      <c r="P2133" s="619" t="s">
        <v>760</v>
      </c>
      <c r="Q2133" s="662"/>
      <c r="R2133" s="618"/>
      <c r="S2133" s="621" t="s">
        <v>2942</v>
      </c>
      <c r="T2133" s="619" t="s">
        <v>2994</v>
      </c>
    </row>
    <row r="2134" spans="1:20">
      <c r="A2134" s="622"/>
      <c r="B2134" s="628"/>
      <c r="C2134" s="623"/>
      <c r="D2134" s="623"/>
      <c r="E2134" s="627" t="s">
        <v>2995</v>
      </c>
      <c r="F2134" s="626"/>
      <c r="G2134" s="623"/>
      <c r="H2134" s="627"/>
      <c r="I2134" s="618"/>
      <c r="J2134" s="618"/>
      <c r="K2134" s="618"/>
      <c r="L2134" s="618"/>
      <c r="M2134" s="618"/>
      <c r="N2134" s="618"/>
      <c r="O2134" s="618"/>
      <c r="P2134" s="618"/>
      <c r="Q2134" s="662"/>
      <c r="R2134" s="618"/>
      <c r="S2134" s="621"/>
      <c r="T2134" s="618"/>
    </row>
    <row r="2135" spans="1:20">
      <c r="A2135" s="630">
        <v>3322310</v>
      </c>
      <c r="B2135" s="628"/>
      <c r="C2135" s="623"/>
      <c r="D2135" s="623"/>
      <c r="E2135" s="627" t="s">
        <v>2996</v>
      </c>
      <c r="F2135" s="631" t="s">
        <v>2997</v>
      </c>
      <c r="G2135" s="661">
        <v>332</v>
      </c>
      <c r="H2135" s="633">
        <v>2310</v>
      </c>
      <c r="I2135" s="618"/>
      <c r="J2135" s="619" t="s">
        <v>2996</v>
      </c>
      <c r="K2135" s="618"/>
      <c r="L2135" s="619">
        <v>98</v>
      </c>
      <c r="M2135" s="620">
        <v>93</v>
      </c>
      <c r="N2135" s="619"/>
      <c r="O2135" s="619">
        <v>15</v>
      </c>
      <c r="P2135" s="619" t="s">
        <v>760</v>
      </c>
      <c r="Q2135" s="662"/>
      <c r="R2135" s="618"/>
      <c r="S2135" s="621" t="s">
        <v>2942</v>
      </c>
      <c r="T2135" s="619" t="s">
        <v>12</v>
      </c>
    </row>
    <row r="2136" spans="1:20">
      <c r="A2136" s="630">
        <v>3332310</v>
      </c>
      <c r="B2136" s="628"/>
      <c r="C2136" s="623"/>
      <c r="D2136" s="623"/>
      <c r="E2136" s="627" t="s">
        <v>2998</v>
      </c>
      <c r="F2136" s="631" t="s">
        <v>2999</v>
      </c>
      <c r="G2136" s="661">
        <v>333</v>
      </c>
      <c r="H2136" s="633">
        <v>2310</v>
      </c>
      <c r="I2136" s="618"/>
      <c r="J2136" s="619" t="s">
        <v>2998</v>
      </c>
      <c r="K2136" s="618"/>
      <c r="L2136" s="619">
        <v>99</v>
      </c>
      <c r="M2136" s="620">
        <v>94</v>
      </c>
      <c r="N2136" s="619"/>
      <c r="O2136" s="619">
        <v>15</v>
      </c>
      <c r="P2136" s="619" t="s">
        <v>760</v>
      </c>
      <c r="Q2136" s="662"/>
      <c r="R2136" s="618"/>
      <c r="S2136" s="621" t="s">
        <v>2942</v>
      </c>
      <c r="T2136" s="619" t="s">
        <v>3000</v>
      </c>
    </row>
    <row r="2137" spans="1:20">
      <c r="A2137" s="630">
        <v>3002310</v>
      </c>
      <c r="B2137" s="628"/>
      <c r="C2137" s="623"/>
      <c r="D2137" s="623"/>
      <c r="E2137" s="627" t="s">
        <v>3001</v>
      </c>
      <c r="F2137" s="631" t="s">
        <v>3002</v>
      </c>
      <c r="G2137" s="661">
        <v>300</v>
      </c>
      <c r="H2137" s="633">
        <v>2310</v>
      </c>
      <c r="I2137" s="618"/>
      <c r="J2137" s="619" t="s">
        <v>3001</v>
      </c>
      <c r="K2137" s="618"/>
      <c r="L2137" s="619">
        <v>101</v>
      </c>
      <c r="M2137" s="620">
        <v>96</v>
      </c>
      <c r="N2137" s="619"/>
      <c r="O2137" s="619">
        <v>15</v>
      </c>
      <c r="P2137" s="619" t="s">
        <v>760</v>
      </c>
      <c r="Q2137" s="662"/>
      <c r="R2137" s="618"/>
      <c r="S2137" s="621" t="s">
        <v>2942</v>
      </c>
      <c r="T2137" s="619" t="s">
        <v>3003</v>
      </c>
    </row>
    <row r="2138" spans="1:20">
      <c r="A2138" s="622"/>
      <c r="B2138" s="628"/>
      <c r="C2138" s="623"/>
      <c r="D2138" s="623" t="s">
        <v>799</v>
      </c>
      <c r="E2138" s="627" t="s">
        <v>250</v>
      </c>
      <c r="F2138" s="626"/>
      <c r="G2138" s="623"/>
      <c r="H2138" s="627"/>
      <c r="I2138" s="618"/>
      <c r="J2138" s="618"/>
      <c r="K2138" s="618"/>
      <c r="L2138" s="618"/>
      <c r="M2138" s="618"/>
      <c r="N2138" s="618"/>
      <c r="O2138" s="618"/>
      <c r="P2138" s="618"/>
      <c r="Q2138" s="662"/>
      <c r="R2138" s="618"/>
      <c r="S2138" s="621"/>
      <c r="T2138" s="618"/>
    </row>
    <row r="2139" spans="1:20">
      <c r="A2139" s="630">
        <v>4302310</v>
      </c>
      <c r="B2139" s="628"/>
      <c r="C2139" s="623"/>
      <c r="D2139" s="623"/>
      <c r="E2139" s="627" t="s">
        <v>1114</v>
      </c>
      <c r="F2139" s="631" t="s">
        <v>3004</v>
      </c>
      <c r="G2139" s="661">
        <v>430</v>
      </c>
      <c r="H2139" s="633">
        <v>2310</v>
      </c>
      <c r="I2139" s="618"/>
      <c r="J2139" s="619" t="s">
        <v>1114</v>
      </c>
      <c r="K2139" s="618"/>
      <c r="L2139" s="619">
        <v>107</v>
      </c>
      <c r="M2139" s="620">
        <v>102</v>
      </c>
      <c r="N2139" s="619"/>
      <c r="O2139" s="619">
        <v>15</v>
      </c>
      <c r="P2139" s="619" t="s">
        <v>760</v>
      </c>
      <c r="Q2139" s="662"/>
      <c r="R2139" s="618"/>
      <c r="S2139" s="621" t="s">
        <v>2942</v>
      </c>
      <c r="T2139" s="619" t="s">
        <v>1021</v>
      </c>
    </row>
    <row r="2140" spans="1:20">
      <c r="A2140" s="630">
        <v>4002310</v>
      </c>
      <c r="B2140" s="628"/>
      <c r="C2140" s="623"/>
      <c r="D2140" s="623"/>
      <c r="E2140" s="627" t="s">
        <v>3005</v>
      </c>
      <c r="F2140" s="631" t="s">
        <v>3006</v>
      </c>
      <c r="G2140" s="661">
        <v>400</v>
      </c>
      <c r="H2140" s="633">
        <v>2310</v>
      </c>
      <c r="I2140" s="618"/>
      <c r="J2140" s="619" t="s">
        <v>3005</v>
      </c>
      <c r="K2140" s="618"/>
      <c r="L2140" s="619">
        <v>108</v>
      </c>
      <c r="M2140" s="620">
        <v>103</v>
      </c>
      <c r="N2140" s="619"/>
      <c r="O2140" s="619">
        <v>15</v>
      </c>
      <c r="P2140" s="619" t="s">
        <v>760</v>
      </c>
      <c r="Q2140" s="662"/>
      <c r="R2140" s="618"/>
      <c r="S2140" s="621" t="s">
        <v>2942</v>
      </c>
      <c r="T2140" s="619" t="s">
        <v>1025</v>
      </c>
    </row>
    <row r="2141" spans="1:20">
      <c r="A2141" s="622"/>
      <c r="B2141" s="628"/>
      <c r="C2141" s="623"/>
      <c r="D2141" s="623" t="s">
        <v>803</v>
      </c>
      <c r="E2141" s="627" t="s">
        <v>252</v>
      </c>
      <c r="F2141" s="626"/>
      <c r="G2141" s="623"/>
      <c r="H2141" s="627"/>
      <c r="I2141" s="618"/>
      <c r="J2141" s="618"/>
      <c r="K2141" s="618"/>
      <c r="L2141" s="618"/>
      <c r="M2141" s="618"/>
      <c r="N2141" s="618"/>
      <c r="O2141" s="618"/>
      <c r="P2141" s="618"/>
      <c r="Q2141" s="662"/>
      <c r="R2141" s="618"/>
      <c r="S2141" s="621"/>
      <c r="T2141" s="618"/>
    </row>
    <row r="2142" spans="1:20">
      <c r="A2142" s="622"/>
      <c r="B2142" s="628"/>
      <c r="C2142" s="623"/>
      <c r="D2142" s="623"/>
      <c r="E2142" s="627" t="s">
        <v>3007</v>
      </c>
      <c r="F2142" s="626"/>
      <c r="G2142" s="623"/>
      <c r="H2142" s="627"/>
      <c r="I2142" s="618"/>
      <c r="J2142" s="618"/>
      <c r="K2142" s="618"/>
      <c r="L2142" s="618"/>
      <c r="M2142" s="618"/>
      <c r="N2142" s="618"/>
      <c r="O2142" s="618"/>
      <c r="P2142" s="618"/>
      <c r="Q2142" s="662"/>
      <c r="R2142" s="618"/>
      <c r="S2142" s="621"/>
      <c r="T2142" s="618"/>
    </row>
    <row r="2143" spans="1:20">
      <c r="A2143" s="630">
        <v>5212310</v>
      </c>
      <c r="B2143" s="628"/>
      <c r="C2143" s="623"/>
      <c r="D2143" s="623"/>
      <c r="E2143" s="627" t="s">
        <v>3008</v>
      </c>
      <c r="F2143" s="631" t="s">
        <v>3009</v>
      </c>
      <c r="G2143" s="661">
        <v>521</v>
      </c>
      <c r="H2143" s="633">
        <v>2310</v>
      </c>
      <c r="I2143" s="618"/>
      <c r="J2143" s="619" t="s">
        <v>3008</v>
      </c>
      <c r="K2143" s="618"/>
      <c r="L2143" s="619">
        <v>113</v>
      </c>
      <c r="M2143" s="620">
        <v>107</v>
      </c>
      <c r="N2143" s="619"/>
      <c r="O2143" s="619">
        <v>15</v>
      </c>
      <c r="P2143" s="619" t="s">
        <v>760</v>
      </c>
      <c r="Q2143" s="662"/>
      <c r="R2143" s="618"/>
      <c r="S2143" s="621" t="s">
        <v>2942</v>
      </c>
      <c r="T2143" s="619" t="s">
        <v>3010</v>
      </c>
    </row>
    <row r="2144" spans="1:20">
      <c r="A2144" s="630">
        <v>5242310</v>
      </c>
      <c r="B2144" s="628"/>
      <c r="C2144" s="623"/>
      <c r="D2144" s="623"/>
      <c r="E2144" s="627" t="s">
        <v>3011</v>
      </c>
      <c r="F2144" s="631" t="s">
        <v>3012</v>
      </c>
      <c r="G2144" s="661">
        <v>524</v>
      </c>
      <c r="H2144" s="633">
        <v>2310</v>
      </c>
      <c r="I2144" s="618"/>
      <c r="J2144" s="619" t="s">
        <v>3011</v>
      </c>
      <c r="K2144" s="618"/>
      <c r="L2144" s="619">
        <v>115</v>
      </c>
      <c r="M2144" s="620">
        <v>107</v>
      </c>
      <c r="N2144" s="619"/>
      <c r="O2144" s="619">
        <v>15</v>
      </c>
      <c r="P2144" s="619" t="s">
        <v>760</v>
      </c>
      <c r="Q2144" s="662"/>
      <c r="R2144" s="618"/>
      <c r="S2144" s="621" t="s">
        <v>2942</v>
      </c>
      <c r="T2144" s="619" t="s">
        <v>3013</v>
      </c>
    </row>
    <row r="2145" spans="1:20">
      <c r="A2145" s="630">
        <v>5252310</v>
      </c>
      <c r="B2145" s="628"/>
      <c r="C2145" s="623"/>
      <c r="D2145" s="623"/>
      <c r="E2145" s="627" t="s">
        <v>3014</v>
      </c>
      <c r="F2145" s="631" t="s">
        <v>3015</v>
      </c>
      <c r="G2145" s="661">
        <v>525</v>
      </c>
      <c r="H2145" s="633">
        <v>2310</v>
      </c>
      <c r="I2145" s="618"/>
      <c r="J2145" s="619" t="s">
        <v>3014</v>
      </c>
      <c r="K2145" s="618"/>
      <c r="L2145" s="619">
        <v>116</v>
      </c>
      <c r="M2145" s="620">
        <v>107</v>
      </c>
      <c r="N2145" s="619"/>
      <c r="O2145" s="619">
        <v>15</v>
      </c>
      <c r="P2145" s="619" t="s">
        <v>760</v>
      </c>
      <c r="Q2145" s="662"/>
      <c r="R2145" s="618"/>
      <c r="S2145" s="621" t="s">
        <v>2942</v>
      </c>
      <c r="T2145" s="619" t="s">
        <v>3016</v>
      </c>
    </row>
    <row r="2146" spans="1:20">
      <c r="A2146" s="630">
        <v>5302310</v>
      </c>
      <c r="B2146" s="628"/>
      <c r="C2146" s="623"/>
      <c r="D2146" s="623"/>
      <c r="E2146" s="627" t="s">
        <v>3017</v>
      </c>
      <c r="F2146" s="631" t="s">
        <v>3018</v>
      </c>
      <c r="G2146" s="661">
        <v>530</v>
      </c>
      <c r="H2146" s="633">
        <v>2310</v>
      </c>
      <c r="I2146" s="618"/>
      <c r="J2146" s="619" t="s">
        <v>3017</v>
      </c>
      <c r="K2146" s="618"/>
      <c r="L2146" s="619">
        <v>119</v>
      </c>
      <c r="M2146" s="620">
        <v>110</v>
      </c>
      <c r="N2146" s="619"/>
      <c r="O2146" s="619">
        <v>15</v>
      </c>
      <c r="P2146" s="619" t="s">
        <v>760</v>
      </c>
      <c r="Q2146" s="662"/>
      <c r="R2146" s="618"/>
      <c r="S2146" s="621" t="s">
        <v>2942</v>
      </c>
      <c r="T2146" s="619" t="s">
        <v>3019</v>
      </c>
    </row>
    <row r="2147" spans="1:20">
      <c r="A2147" s="630">
        <v>5402310</v>
      </c>
      <c r="B2147" s="628"/>
      <c r="C2147" s="623"/>
      <c r="D2147" s="623"/>
      <c r="E2147" s="627" t="s">
        <v>3020</v>
      </c>
      <c r="F2147" s="631" t="s">
        <v>3021</v>
      </c>
      <c r="G2147" s="661">
        <v>540</v>
      </c>
      <c r="H2147" s="633">
        <v>2310</v>
      </c>
      <c r="I2147" s="618"/>
      <c r="J2147" s="619" t="s">
        <v>3020</v>
      </c>
      <c r="K2147" s="618"/>
      <c r="L2147" s="619">
        <v>119</v>
      </c>
      <c r="M2147" s="620">
        <v>110</v>
      </c>
      <c r="N2147" s="619"/>
      <c r="O2147" s="619">
        <v>15</v>
      </c>
      <c r="P2147" s="619" t="s">
        <v>760</v>
      </c>
      <c r="Q2147" s="662"/>
      <c r="R2147" s="618"/>
      <c r="S2147" s="621" t="s">
        <v>2942</v>
      </c>
      <c r="T2147" s="619" t="s">
        <v>3022</v>
      </c>
    </row>
    <row r="2148" spans="1:20">
      <c r="A2148" s="622"/>
      <c r="B2148" s="628"/>
      <c r="C2148" s="623"/>
      <c r="D2148" s="623"/>
      <c r="E2148" s="627" t="s">
        <v>3023</v>
      </c>
      <c r="F2148" s="626"/>
      <c r="G2148" s="623"/>
      <c r="H2148" s="627"/>
      <c r="I2148" s="618"/>
      <c r="J2148" s="618"/>
      <c r="K2148" s="618"/>
      <c r="L2148" s="618"/>
      <c r="M2148" s="618"/>
      <c r="N2148" s="618"/>
      <c r="O2148" s="618"/>
      <c r="P2148" s="618"/>
      <c r="Q2148" s="662"/>
      <c r="R2148" s="618"/>
      <c r="S2148" s="621"/>
      <c r="T2148" s="618"/>
    </row>
    <row r="2149" spans="1:20">
      <c r="A2149" s="630">
        <v>5812315</v>
      </c>
      <c r="B2149" s="628"/>
      <c r="C2149" s="623"/>
      <c r="D2149" s="623"/>
      <c r="E2149" s="627" t="s">
        <v>3024</v>
      </c>
      <c r="F2149" s="631" t="s">
        <v>3025</v>
      </c>
      <c r="G2149" s="661">
        <v>581</v>
      </c>
      <c r="H2149" s="633">
        <v>2315</v>
      </c>
      <c r="I2149" s="618"/>
      <c r="J2149" s="619" t="s">
        <v>3024</v>
      </c>
      <c r="K2149" s="618"/>
      <c r="L2149" s="619">
        <v>118</v>
      </c>
      <c r="M2149" s="620">
        <v>109</v>
      </c>
      <c r="N2149" s="619"/>
      <c r="O2149" s="619">
        <v>15</v>
      </c>
      <c r="P2149" s="619" t="s">
        <v>760</v>
      </c>
      <c r="Q2149" s="662"/>
      <c r="R2149" s="618"/>
      <c r="S2149" s="621" t="s">
        <v>2942</v>
      </c>
      <c r="T2149" s="619" t="s">
        <v>3026</v>
      </c>
    </row>
    <row r="2150" spans="1:20">
      <c r="A2150" s="630">
        <v>5812310</v>
      </c>
      <c r="B2150" s="628"/>
      <c r="C2150" s="623"/>
      <c r="D2150" s="623"/>
      <c r="E2150" s="627" t="s">
        <v>3027</v>
      </c>
      <c r="F2150" s="631" t="s">
        <v>3028</v>
      </c>
      <c r="G2150" s="661">
        <v>581</v>
      </c>
      <c r="H2150" s="633">
        <v>2310</v>
      </c>
      <c r="I2150" s="618"/>
      <c r="J2150" s="619" t="s">
        <v>3027</v>
      </c>
      <c r="K2150" s="618"/>
      <c r="L2150" s="619">
        <v>118</v>
      </c>
      <c r="M2150" s="620">
        <v>109</v>
      </c>
      <c r="N2150" s="619"/>
      <c r="O2150" s="619">
        <v>15</v>
      </c>
      <c r="P2150" s="619" t="s">
        <v>760</v>
      </c>
      <c r="Q2150" s="662"/>
      <c r="R2150" s="618"/>
      <c r="S2150" s="621" t="s">
        <v>2942</v>
      </c>
      <c r="T2150" s="619" t="s">
        <v>3029</v>
      </c>
    </row>
    <row r="2151" spans="1:20">
      <c r="A2151" s="630">
        <v>5822315</v>
      </c>
      <c r="B2151" s="628"/>
      <c r="C2151" s="623"/>
      <c r="D2151" s="623"/>
      <c r="E2151" s="627" t="s">
        <v>3030</v>
      </c>
      <c r="F2151" s="631" t="s">
        <v>3031</v>
      </c>
      <c r="G2151" s="661">
        <v>582</v>
      </c>
      <c r="H2151" s="633">
        <v>2315</v>
      </c>
      <c r="I2151" s="618"/>
      <c r="J2151" s="619" t="s">
        <v>3030</v>
      </c>
      <c r="K2151" s="618"/>
      <c r="L2151" s="619">
        <v>118</v>
      </c>
      <c r="M2151" s="620">
        <v>109</v>
      </c>
      <c r="N2151" s="619"/>
      <c r="O2151" s="619">
        <v>15</v>
      </c>
      <c r="P2151" s="619" t="s">
        <v>760</v>
      </c>
      <c r="Q2151" s="662"/>
      <c r="R2151" s="618"/>
      <c r="S2151" s="621" t="s">
        <v>2942</v>
      </c>
      <c r="T2151" s="619" t="s">
        <v>3032</v>
      </c>
    </row>
    <row r="2152" spans="1:20">
      <c r="A2152" s="630">
        <v>5822310</v>
      </c>
      <c r="B2152" s="628"/>
      <c r="C2152" s="623"/>
      <c r="D2152" s="623"/>
      <c r="E2152" s="627" t="s">
        <v>3033</v>
      </c>
      <c r="F2152" s="631" t="s">
        <v>3034</v>
      </c>
      <c r="G2152" s="661">
        <v>582</v>
      </c>
      <c r="H2152" s="633">
        <v>2310</v>
      </c>
      <c r="I2152" s="618"/>
      <c r="J2152" s="619" t="s">
        <v>3033</v>
      </c>
      <c r="K2152" s="618"/>
      <c r="L2152" s="619">
        <v>118</v>
      </c>
      <c r="M2152" s="620">
        <v>109</v>
      </c>
      <c r="N2152" s="619"/>
      <c r="O2152" s="619">
        <v>15</v>
      </c>
      <c r="P2152" s="619" t="s">
        <v>760</v>
      </c>
      <c r="Q2152" s="662"/>
      <c r="R2152" s="618"/>
      <c r="S2152" s="621" t="s">
        <v>2942</v>
      </c>
      <c r="T2152" s="619" t="s">
        <v>3035</v>
      </c>
    </row>
    <row r="2153" spans="1:20">
      <c r="A2153" s="630">
        <v>5002310</v>
      </c>
      <c r="B2153" s="628"/>
      <c r="C2153" s="623"/>
      <c r="D2153" s="623"/>
      <c r="E2153" s="627" t="s">
        <v>3036</v>
      </c>
      <c r="F2153" s="631" t="s">
        <v>3037</v>
      </c>
      <c r="G2153" s="661">
        <v>500</v>
      </c>
      <c r="H2153" s="633">
        <v>2310</v>
      </c>
      <c r="I2153" s="618"/>
      <c r="J2153" s="619" t="s">
        <v>3036</v>
      </c>
      <c r="K2153" s="618"/>
      <c r="L2153" s="619">
        <v>119</v>
      </c>
      <c r="M2153" s="620">
        <v>110</v>
      </c>
      <c r="N2153" s="619"/>
      <c r="O2153" s="619">
        <v>15</v>
      </c>
      <c r="P2153" s="619" t="s">
        <v>760</v>
      </c>
      <c r="Q2153" s="662"/>
      <c r="R2153" s="618"/>
      <c r="S2153" s="621" t="s">
        <v>2942</v>
      </c>
      <c r="T2153" s="619" t="s">
        <v>252</v>
      </c>
    </row>
    <row r="2154" spans="1:20">
      <c r="A2154" s="622"/>
      <c r="B2154" s="628"/>
      <c r="C2154" s="623"/>
      <c r="D2154" s="623" t="s">
        <v>848</v>
      </c>
      <c r="E2154" s="627" t="s">
        <v>254</v>
      </c>
      <c r="F2154" s="626"/>
      <c r="G2154" s="623"/>
      <c r="H2154" s="627"/>
      <c r="I2154" s="618"/>
      <c r="J2154" s="618"/>
      <c r="K2154" s="618"/>
      <c r="L2154" s="618"/>
      <c r="M2154" s="618"/>
      <c r="N2154" s="618"/>
      <c r="O2154" s="618"/>
      <c r="P2154" s="618"/>
      <c r="Q2154" s="662"/>
      <c r="R2154" s="618"/>
      <c r="S2154" s="621"/>
      <c r="T2154" s="618"/>
    </row>
    <row r="2155" spans="1:20">
      <c r="A2155" s="630">
        <v>6152315</v>
      </c>
      <c r="B2155" s="628"/>
      <c r="C2155" s="623"/>
      <c r="D2155" s="623"/>
      <c r="E2155" s="627" t="s">
        <v>3038</v>
      </c>
      <c r="F2155" s="631" t="s">
        <v>3039</v>
      </c>
      <c r="G2155" s="661">
        <v>615</v>
      </c>
      <c r="H2155" s="633">
        <v>2315</v>
      </c>
      <c r="I2155" s="618"/>
      <c r="J2155" s="619" t="s">
        <v>3038</v>
      </c>
      <c r="K2155" s="618"/>
      <c r="L2155" s="619">
        <v>126</v>
      </c>
      <c r="M2155" s="620">
        <v>117</v>
      </c>
      <c r="N2155" s="619"/>
      <c r="O2155" s="619">
        <v>15</v>
      </c>
      <c r="P2155" s="619" t="s">
        <v>760</v>
      </c>
      <c r="Q2155" s="662" t="s">
        <v>1043</v>
      </c>
      <c r="R2155" s="618"/>
      <c r="S2155" s="621" t="s">
        <v>2942</v>
      </c>
      <c r="T2155" s="619" t="s">
        <v>3040</v>
      </c>
    </row>
    <row r="2156" spans="1:20">
      <c r="A2156" s="630">
        <v>6152310</v>
      </c>
      <c r="B2156" s="628"/>
      <c r="C2156" s="623"/>
      <c r="D2156" s="623"/>
      <c r="E2156" s="627" t="s">
        <v>3041</v>
      </c>
      <c r="F2156" s="631" t="s">
        <v>3042</v>
      </c>
      <c r="G2156" s="661">
        <v>615</v>
      </c>
      <c r="H2156" s="633">
        <v>2310</v>
      </c>
      <c r="I2156" s="618"/>
      <c r="J2156" s="619" t="s">
        <v>3041</v>
      </c>
      <c r="K2156" s="618"/>
      <c r="L2156" s="619">
        <v>126</v>
      </c>
      <c r="M2156" s="620">
        <v>117</v>
      </c>
      <c r="N2156" s="619"/>
      <c r="O2156" s="619">
        <v>15</v>
      </c>
      <c r="P2156" s="619" t="s">
        <v>760</v>
      </c>
      <c r="Q2156" s="662" t="s">
        <v>1043</v>
      </c>
      <c r="R2156" s="618"/>
      <c r="S2156" s="621" t="s">
        <v>2942</v>
      </c>
      <c r="T2156" s="619" t="s">
        <v>3043</v>
      </c>
    </row>
    <row r="2157" spans="1:20">
      <c r="A2157" s="630">
        <v>6102315</v>
      </c>
      <c r="B2157" s="628"/>
      <c r="C2157" s="623"/>
      <c r="D2157" s="623"/>
      <c r="E2157" s="627" t="s">
        <v>3044</v>
      </c>
      <c r="F2157" s="631" t="s">
        <v>3045</v>
      </c>
      <c r="G2157" s="661">
        <v>610</v>
      </c>
      <c r="H2157" s="633">
        <v>2315</v>
      </c>
      <c r="I2157" s="618"/>
      <c r="J2157" s="619" t="s">
        <v>3044</v>
      </c>
      <c r="K2157" s="618"/>
      <c r="L2157" s="619">
        <v>122</v>
      </c>
      <c r="M2157" s="620">
        <v>113</v>
      </c>
      <c r="N2157" s="619"/>
      <c r="O2157" s="619">
        <v>15</v>
      </c>
      <c r="P2157" s="619" t="s">
        <v>760</v>
      </c>
      <c r="Q2157" s="662" t="s">
        <v>1043</v>
      </c>
      <c r="R2157" s="618"/>
      <c r="S2157" s="621" t="s">
        <v>2942</v>
      </c>
      <c r="T2157" s="619" t="s">
        <v>3046</v>
      </c>
    </row>
    <row r="2158" spans="1:20">
      <c r="A2158" s="630">
        <v>6102310</v>
      </c>
      <c r="B2158" s="628"/>
      <c r="C2158" s="623"/>
      <c r="D2158" s="623"/>
      <c r="E2158" s="627" t="s">
        <v>3047</v>
      </c>
      <c r="F2158" s="631" t="s">
        <v>3048</v>
      </c>
      <c r="G2158" s="661">
        <v>610</v>
      </c>
      <c r="H2158" s="633">
        <v>2310</v>
      </c>
      <c r="I2158" s="618"/>
      <c r="J2158" s="619" t="s">
        <v>3047</v>
      </c>
      <c r="K2158" s="618"/>
      <c r="L2158" s="619">
        <v>122</v>
      </c>
      <c r="M2158" s="620">
        <v>113</v>
      </c>
      <c r="N2158" s="619"/>
      <c r="O2158" s="619">
        <v>15</v>
      </c>
      <c r="P2158" s="619" t="s">
        <v>760</v>
      </c>
      <c r="Q2158" s="662" t="s">
        <v>1043</v>
      </c>
      <c r="R2158" s="618"/>
      <c r="S2158" s="621" t="s">
        <v>2942</v>
      </c>
      <c r="T2158" s="619" t="s">
        <v>3049</v>
      </c>
    </row>
    <row r="2159" spans="1:20">
      <c r="A2159" s="630">
        <v>6002315</v>
      </c>
      <c r="B2159" s="628"/>
      <c r="C2159" s="623"/>
      <c r="D2159" s="623"/>
      <c r="E2159" s="627" t="s">
        <v>3050</v>
      </c>
      <c r="F2159" s="631" t="s">
        <v>3051</v>
      </c>
      <c r="G2159" s="661">
        <v>600</v>
      </c>
      <c r="H2159" s="633">
        <v>2315</v>
      </c>
      <c r="I2159" s="618"/>
      <c r="J2159" s="619" t="s">
        <v>3050</v>
      </c>
      <c r="K2159" s="618"/>
      <c r="L2159" s="619">
        <v>126</v>
      </c>
      <c r="M2159" s="620">
        <v>117</v>
      </c>
      <c r="N2159" s="619"/>
      <c r="O2159" s="619">
        <v>15</v>
      </c>
      <c r="P2159" s="619" t="s">
        <v>760</v>
      </c>
      <c r="Q2159" s="662"/>
      <c r="R2159" s="618"/>
      <c r="S2159" s="621" t="s">
        <v>2942</v>
      </c>
      <c r="T2159" s="619" t="s">
        <v>3052</v>
      </c>
    </row>
    <row r="2160" spans="1:20">
      <c r="A2160" s="630">
        <v>6002310</v>
      </c>
      <c r="B2160" s="628"/>
      <c r="C2160" s="623"/>
      <c r="D2160" s="623"/>
      <c r="E2160" s="627" t="s">
        <v>3053</v>
      </c>
      <c r="F2160" s="631" t="s">
        <v>3054</v>
      </c>
      <c r="G2160" s="661">
        <v>600</v>
      </c>
      <c r="H2160" s="633">
        <v>2310</v>
      </c>
      <c r="I2160" s="618"/>
      <c r="J2160" s="619" t="s">
        <v>3053</v>
      </c>
      <c r="K2160" s="618"/>
      <c r="L2160" s="619">
        <v>126</v>
      </c>
      <c r="M2160" s="620">
        <v>117</v>
      </c>
      <c r="N2160" s="619"/>
      <c r="O2160" s="619">
        <v>15</v>
      </c>
      <c r="P2160" s="619" t="s">
        <v>760</v>
      </c>
      <c r="Q2160" s="662"/>
      <c r="R2160" s="618"/>
      <c r="S2160" s="621" t="s">
        <v>2942</v>
      </c>
      <c r="T2160" s="619" t="s">
        <v>3055</v>
      </c>
    </row>
    <row r="2161" spans="1:20">
      <c r="A2161" s="622"/>
      <c r="B2161" s="628"/>
      <c r="C2161" s="623"/>
      <c r="D2161" s="623" t="s">
        <v>851</v>
      </c>
      <c r="E2161" s="627" t="s">
        <v>1050</v>
      </c>
      <c r="F2161" s="626"/>
      <c r="G2161" s="623"/>
      <c r="H2161" s="627"/>
      <c r="I2161" s="618"/>
      <c r="J2161" s="618"/>
      <c r="K2161" s="618"/>
      <c r="L2161" s="618"/>
      <c r="M2161" s="618"/>
      <c r="N2161" s="618"/>
      <c r="O2161" s="618"/>
      <c r="P2161" s="618"/>
      <c r="Q2161" s="662"/>
      <c r="R2161" s="618"/>
      <c r="S2161" s="621"/>
      <c r="T2161" s="618"/>
    </row>
    <row r="2162" spans="1:20">
      <c r="A2162" s="630">
        <v>7342310</v>
      </c>
      <c r="B2162" s="628"/>
      <c r="C2162" s="623"/>
      <c r="D2162" s="623"/>
      <c r="E2162" s="627" t="s">
        <v>1146</v>
      </c>
      <c r="F2162" s="631" t="s">
        <v>3056</v>
      </c>
      <c r="G2162" s="661">
        <v>734</v>
      </c>
      <c r="H2162" s="633">
        <v>2310</v>
      </c>
      <c r="I2162" s="618"/>
      <c r="J2162" s="619" t="s">
        <v>1146</v>
      </c>
      <c r="K2162" s="618"/>
      <c r="L2162" s="619">
        <v>131</v>
      </c>
      <c r="M2162" s="620">
        <v>122</v>
      </c>
      <c r="N2162" s="619"/>
      <c r="O2162" s="619">
        <v>15</v>
      </c>
      <c r="P2162" s="619" t="s">
        <v>760</v>
      </c>
      <c r="Q2162" s="662"/>
      <c r="R2162" s="618"/>
      <c r="S2162" s="621" t="s">
        <v>2942</v>
      </c>
      <c r="T2162" s="619" t="s">
        <v>1051</v>
      </c>
    </row>
    <row r="2163" spans="1:20">
      <c r="A2163" s="630">
        <v>7352310</v>
      </c>
      <c r="B2163" s="628"/>
      <c r="C2163" s="623"/>
      <c r="D2163" s="623"/>
      <c r="E2163" s="627" t="s">
        <v>1148</v>
      </c>
      <c r="F2163" s="631" t="s">
        <v>3057</v>
      </c>
      <c r="G2163" s="661">
        <v>735</v>
      </c>
      <c r="H2163" s="633">
        <v>2310</v>
      </c>
      <c r="I2163" s="618"/>
      <c r="J2163" s="619" t="s">
        <v>1148</v>
      </c>
      <c r="K2163" s="618"/>
      <c r="L2163" s="619">
        <v>131</v>
      </c>
      <c r="M2163" s="620">
        <v>122</v>
      </c>
      <c r="N2163" s="619"/>
      <c r="O2163" s="619">
        <v>15</v>
      </c>
      <c r="P2163" s="619" t="s">
        <v>760</v>
      </c>
      <c r="Q2163" s="662"/>
      <c r="R2163" s="618"/>
      <c r="S2163" s="621" t="s">
        <v>2942</v>
      </c>
      <c r="T2163" s="619" t="s">
        <v>1053</v>
      </c>
    </row>
    <row r="2164" spans="1:20">
      <c r="A2164" s="630">
        <v>7302310</v>
      </c>
      <c r="B2164" s="628"/>
      <c r="C2164" s="623"/>
      <c r="D2164" s="623"/>
      <c r="E2164" s="627" t="s">
        <v>1150</v>
      </c>
      <c r="F2164" s="631" t="s">
        <v>3058</v>
      </c>
      <c r="G2164" s="661">
        <v>730</v>
      </c>
      <c r="H2164" s="633">
        <v>2310</v>
      </c>
      <c r="I2164" s="618"/>
      <c r="J2164" s="619" t="s">
        <v>1150</v>
      </c>
      <c r="K2164" s="618"/>
      <c r="L2164" s="619">
        <v>131</v>
      </c>
      <c r="M2164" s="620">
        <v>122</v>
      </c>
      <c r="N2164" s="619"/>
      <c r="O2164" s="619">
        <v>15</v>
      </c>
      <c r="P2164" s="619" t="s">
        <v>760</v>
      </c>
      <c r="Q2164" s="662"/>
      <c r="R2164" s="618"/>
      <c r="S2164" s="621" t="s">
        <v>2942</v>
      </c>
      <c r="T2164" s="619" t="s">
        <v>1055</v>
      </c>
    </row>
    <row r="2165" spans="1:20">
      <c r="A2165" s="630">
        <v>7002310</v>
      </c>
      <c r="B2165" s="628"/>
      <c r="C2165" s="623"/>
      <c r="D2165" s="623"/>
      <c r="E2165" s="627" t="s">
        <v>1152</v>
      </c>
      <c r="F2165" s="631" t="s">
        <v>3059</v>
      </c>
      <c r="G2165" s="661">
        <v>700</v>
      </c>
      <c r="H2165" s="633">
        <v>2310</v>
      </c>
      <c r="I2165" s="618"/>
      <c r="J2165" s="619" t="s">
        <v>1152</v>
      </c>
      <c r="K2165" s="618"/>
      <c r="L2165" s="619">
        <v>132</v>
      </c>
      <c r="M2165" s="620">
        <v>123</v>
      </c>
      <c r="N2165" s="619"/>
      <c r="O2165" s="619">
        <v>15</v>
      </c>
      <c r="P2165" s="619" t="s">
        <v>760</v>
      </c>
      <c r="Q2165" s="662"/>
      <c r="R2165" s="618"/>
      <c r="S2165" s="621" t="s">
        <v>2942</v>
      </c>
      <c r="T2165" s="619" t="s">
        <v>1057</v>
      </c>
    </row>
    <row r="2166" spans="1:20">
      <c r="A2166" s="622"/>
      <c r="B2166" s="628"/>
      <c r="C2166" s="623"/>
      <c r="D2166" s="623" t="s">
        <v>854</v>
      </c>
      <c r="E2166" s="627" t="s">
        <v>3060</v>
      </c>
      <c r="F2166" s="626"/>
      <c r="G2166" s="623"/>
      <c r="H2166" s="627"/>
      <c r="I2166" s="618"/>
      <c r="J2166" s="618"/>
      <c r="K2166" s="618"/>
      <c r="L2166" s="618"/>
      <c r="M2166" s="618"/>
      <c r="N2166" s="618"/>
      <c r="O2166" s="618"/>
      <c r="P2166" s="618"/>
      <c r="Q2166" s="662"/>
      <c r="R2166" s="618"/>
      <c r="S2166" s="621"/>
      <c r="T2166" s="618"/>
    </row>
    <row r="2167" spans="1:20">
      <c r="A2167" s="630">
        <v>8102310</v>
      </c>
      <c r="B2167" s="628"/>
      <c r="C2167" s="623"/>
      <c r="D2167" s="623"/>
      <c r="E2167" s="627" t="s">
        <v>3061</v>
      </c>
      <c r="F2167" s="631" t="s">
        <v>3062</v>
      </c>
      <c r="G2167" s="661">
        <v>810</v>
      </c>
      <c r="H2167" s="633">
        <v>2310</v>
      </c>
      <c r="I2167" s="618"/>
      <c r="J2167" s="619" t="s">
        <v>3061</v>
      </c>
      <c r="K2167" s="618"/>
      <c r="L2167" s="619">
        <v>136</v>
      </c>
      <c r="M2167" s="620">
        <v>129</v>
      </c>
      <c r="N2167" s="619"/>
      <c r="O2167" s="619">
        <v>15</v>
      </c>
      <c r="P2167" s="619" t="s">
        <v>760</v>
      </c>
      <c r="Q2167" s="662"/>
      <c r="R2167" s="618"/>
      <c r="S2167" s="621" t="s">
        <v>2942</v>
      </c>
      <c r="T2167" s="619" t="s">
        <v>145</v>
      </c>
    </row>
    <row r="2168" spans="1:20">
      <c r="A2168" s="630">
        <v>8202310</v>
      </c>
      <c r="B2168" s="628"/>
      <c r="C2168" s="623"/>
      <c r="D2168" s="623"/>
      <c r="E2168" s="627" t="s">
        <v>3063</v>
      </c>
      <c r="F2168" s="631" t="s">
        <v>3064</v>
      </c>
      <c r="G2168" s="661">
        <v>820</v>
      </c>
      <c r="H2168" s="633">
        <v>2310</v>
      </c>
      <c r="I2168" s="618"/>
      <c r="J2168" s="619" t="s">
        <v>3063</v>
      </c>
      <c r="K2168" s="618"/>
      <c r="L2168" s="619">
        <v>139</v>
      </c>
      <c r="M2168" s="620">
        <v>129</v>
      </c>
      <c r="N2168" s="619"/>
      <c r="O2168" s="619">
        <v>15</v>
      </c>
      <c r="P2168" s="619" t="s">
        <v>760</v>
      </c>
      <c r="Q2168" s="662"/>
      <c r="R2168" s="618"/>
      <c r="S2168" s="621" t="s">
        <v>2942</v>
      </c>
      <c r="T2168" s="619" t="s">
        <v>3065</v>
      </c>
    </row>
    <row r="2169" spans="1:20">
      <c r="A2169" s="630">
        <v>8952310</v>
      </c>
      <c r="B2169" s="628"/>
      <c r="C2169" s="623"/>
      <c r="D2169" s="623"/>
      <c r="E2169" s="627" t="s">
        <v>3066</v>
      </c>
      <c r="F2169" s="631" t="s">
        <v>3067</v>
      </c>
      <c r="G2169" s="661">
        <v>895</v>
      </c>
      <c r="H2169" s="633">
        <v>2310</v>
      </c>
      <c r="I2169" s="618"/>
      <c r="J2169" s="619" t="s">
        <v>3066</v>
      </c>
      <c r="K2169" s="618"/>
      <c r="L2169" s="619">
        <v>139</v>
      </c>
      <c r="M2169" s="620">
        <v>129</v>
      </c>
      <c r="N2169" s="619"/>
      <c r="O2169" s="619">
        <v>15</v>
      </c>
      <c r="P2169" s="619" t="s">
        <v>760</v>
      </c>
      <c r="Q2169" s="662"/>
      <c r="R2169" s="618"/>
      <c r="S2169" s="621" t="s">
        <v>2942</v>
      </c>
      <c r="T2169" s="619" t="s">
        <v>1059</v>
      </c>
    </row>
    <row r="2170" spans="1:20">
      <c r="A2170" s="630">
        <v>8002310</v>
      </c>
      <c r="B2170" s="628"/>
      <c r="C2170" s="623"/>
      <c r="D2170" s="623"/>
      <c r="E2170" s="627" t="s">
        <v>3068</v>
      </c>
      <c r="F2170" s="631" t="s">
        <v>3069</v>
      </c>
      <c r="G2170" s="661">
        <v>800</v>
      </c>
      <c r="H2170" s="633">
        <v>2310</v>
      </c>
      <c r="I2170" s="618"/>
      <c r="J2170" s="619" t="s">
        <v>3068</v>
      </c>
      <c r="K2170" s="618"/>
      <c r="L2170" s="619">
        <v>139</v>
      </c>
      <c r="M2170" s="620">
        <v>129</v>
      </c>
      <c r="N2170" s="619"/>
      <c r="O2170" s="619">
        <v>15</v>
      </c>
      <c r="P2170" s="619" t="s">
        <v>760</v>
      </c>
      <c r="Q2170" s="662"/>
      <c r="R2170" s="618"/>
      <c r="S2170" s="621" t="s">
        <v>2942</v>
      </c>
      <c r="T2170" s="619" t="s">
        <v>3070</v>
      </c>
    </row>
    <row r="2171" spans="1:20">
      <c r="A2171" s="622"/>
      <c r="B2171" s="628"/>
      <c r="C2171" s="623"/>
      <c r="D2171" s="623" t="s">
        <v>857</v>
      </c>
      <c r="E2171" s="627" t="s">
        <v>1063</v>
      </c>
      <c r="F2171" s="626"/>
      <c r="G2171" s="623"/>
      <c r="H2171" s="627"/>
      <c r="I2171" s="618"/>
      <c r="J2171" s="618"/>
      <c r="K2171" s="618"/>
      <c r="L2171" s="618"/>
      <c r="M2171" s="618"/>
      <c r="N2171" s="618"/>
      <c r="O2171" s="618"/>
      <c r="P2171" s="618"/>
      <c r="Q2171" s="662"/>
      <c r="R2171" s="618"/>
      <c r="S2171" s="621"/>
      <c r="T2171" s="618"/>
    </row>
    <row r="2172" spans="1:20">
      <c r="A2172" s="630">
        <v>2102310</v>
      </c>
      <c r="B2172" s="628"/>
      <c r="C2172" s="623"/>
      <c r="D2172" s="623"/>
      <c r="E2172" s="627" t="s">
        <v>1158</v>
      </c>
      <c r="F2172" s="631" t="s">
        <v>3071</v>
      </c>
      <c r="G2172" s="661">
        <v>210</v>
      </c>
      <c r="H2172" s="633">
        <v>2310</v>
      </c>
      <c r="I2172" s="618"/>
      <c r="J2172" s="619" t="s">
        <v>1158</v>
      </c>
      <c r="K2172" s="618"/>
      <c r="L2172" s="619">
        <v>89</v>
      </c>
      <c r="M2172" s="620">
        <v>84</v>
      </c>
      <c r="N2172" s="619"/>
      <c r="O2172" s="619">
        <v>15</v>
      </c>
      <c r="P2172" s="619" t="s">
        <v>760</v>
      </c>
      <c r="Q2172" s="662"/>
      <c r="R2172" s="618"/>
      <c r="S2172" s="621" t="s">
        <v>2942</v>
      </c>
      <c r="T2172" s="619" t="s">
        <v>1064</v>
      </c>
    </row>
    <row r="2173" spans="1:20">
      <c r="A2173" s="630">
        <v>2202310</v>
      </c>
      <c r="B2173" s="628"/>
      <c r="C2173" s="623"/>
      <c r="D2173" s="623"/>
      <c r="E2173" s="627" t="s">
        <v>1160</v>
      </c>
      <c r="F2173" s="631" t="s">
        <v>3072</v>
      </c>
      <c r="G2173" s="661">
        <v>220</v>
      </c>
      <c r="H2173" s="633">
        <v>2310</v>
      </c>
      <c r="I2173" s="618"/>
      <c r="J2173" s="619" t="s">
        <v>1160</v>
      </c>
      <c r="K2173" s="618"/>
      <c r="L2173" s="619">
        <v>90</v>
      </c>
      <c r="M2173" s="620">
        <v>85</v>
      </c>
      <c r="N2173" s="619"/>
      <c r="O2173" s="619">
        <v>15</v>
      </c>
      <c r="P2173" s="619" t="s">
        <v>760</v>
      </c>
      <c r="Q2173" s="662"/>
      <c r="R2173" s="618"/>
      <c r="S2173" s="621" t="s">
        <v>2942</v>
      </c>
      <c r="T2173" s="619" t="s">
        <v>1066</v>
      </c>
    </row>
    <row r="2174" spans="1:20">
      <c r="A2174" s="630">
        <v>2252310</v>
      </c>
      <c r="B2174" s="628"/>
      <c r="C2174" s="623"/>
      <c r="D2174" s="623"/>
      <c r="E2174" s="627" t="s">
        <v>1162</v>
      </c>
      <c r="F2174" s="631" t="s">
        <v>3073</v>
      </c>
      <c r="G2174" s="661">
        <v>225</v>
      </c>
      <c r="H2174" s="633">
        <v>2310</v>
      </c>
      <c r="I2174" s="618"/>
      <c r="J2174" s="619" t="s">
        <v>1162</v>
      </c>
      <c r="K2174" s="618"/>
      <c r="L2174" s="619">
        <v>91</v>
      </c>
      <c r="M2174" s="620">
        <v>86</v>
      </c>
      <c r="N2174" s="619"/>
      <c r="O2174" s="619">
        <v>15</v>
      </c>
      <c r="P2174" s="619" t="s">
        <v>760</v>
      </c>
      <c r="Q2174" s="662"/>
      <c r="R2174" s="618"/>
      <c r="S2174" s="621" t="s">
        <v>2942</v>
      </c>
      <c r="T2174" s="619" t="s">
        <v>23</v>
      </c>
    </row>
    <row r="2175" spans="1:20">
      <c r="A2175" s="622"/>
      <c r="B2175" s="628"/>
      <c r="C2175" s="623"/>
      <c r="D2175" s="623"/>
      <c r="E2175" s="627" t="s">
        <v>1164</v>
      </c>
      <c r="F2175" s="626"/>
      <c r="G2175" s="623"/>
      <c r="H2175" s="627"/>
      <c r="I2175" s="618"/>
      <c r="J2175" s="618"/>
      <c r="K2175" s="618"/>
      <c r="L2175" s="618"/>
      <c r="M2175" s="618"/>
      <c r="N2175" s="618"/>
      <c r="O2175" s="618"/>
      <c r="P2175" s="618"/>
      <c r="Q2175" s="662"/>
      <c r="R2175" s="618"/>
      <c r="S2175" s="621"/>
      <c r="T2175" s="618"/>
    </row>
    <row r="2176" spans="1:20">
      <c r="A2176" s="630">
        <v>2312310</v>
      </c>
      <c r="B2176" s="628"/>
      <c r="C2176" s="623"/>
      <c r="D2176" s="623"/>
      <c r="E2176" s="627" t="s">
        <v>1165</v>
      </c>
      <c r="F2176" s="631" t="s">
        <v>3074</v>
      </c>
      <c r="G2176" s="661">
        <v>231</v>
      </c>
      <c r="H2176" s="633">
        <v>2310</v>
      </c>
      <c r="I2176" s="618"/>
      <c r="J2176" s="619" t="s">
        <v>1165</v>
      </c>
      <c r="K2176" s="618"/>
      <c r="L2176" s="619">
        <v>92</v>
      </c>
      <c r="M2176" s="620">
        <v>87</v>
      </c>
      <c r="N2176" s="619"/>
      <c r="O2176" s="619">
        <v>15</v>
      </c>
      <c r="P2176" s="619" t="s">
        <v>760</v>
      </c>
      <c r="Q2176" s="662"/>
      <c r="R2176" s="618"/>
      <c r="S2176" s="621" t="s">
        <v>2942</v>
      </c>
      <c r="T2176" s="619" t="s">
        <v>1072</v>
      </c>
    </row>
    <row r="2177" spans="1:20">
      <c r="A2177" s="630">
        <v>2332310</v>
      </c>
      <c r="B2177" s="628"/>
      <c r="C2177" s="623"/>
      <c r="D2177" s="623"/>
      <c r="E2177" s="627" t="s">
        <v>1167</v>
      </c>
      <c r="F2177" s="631" t="s">
        <v>3075</v>
      </c>
      <c r="G2177" s="661">
        <v>233</v>
      </c>
      <c r="H2177" s="633">
        <v>2310</v>
      </c>
      <c r="I2177" s="618"/>
      <c r="J2177" s="619" t="s">
        <v>1167</v>
      </c>
      <c r="K2177" s="618"/>
      <c r="L2177" s="619">
        <v>92</v>
      </c>
      <c r="M2177" s="620">
        <v>87</v>
      </c>
      <c r="N2177" s="619"/>
      <c r="O2177" s="619">
        <v>15</v>
      </c>
      <c r="P2177" s="619" t="s">
        <v>760</v>
      </c>
      <c r="Q2177" s="662"/>
      <c r="R2177" s="618"/>
      <c r="S2177" s="621" t="s">
        <v>2942</v>
      </c>
      <c r="T2177" s="619" t="s">
        <v>1169</v>
      </c>
    </row>
    <row r="2178" spans="1:20">
      <c r="A2178" s="630">
        <v>2392310</v>
      </c>
      <c r="B2178" s="628"/>
      <c r="C2178" s="623"/>
      <c r="D2178" s="623"/>
      <c r="E2178" s="627" t="s">
        <v>1170</v>
      </c>
      <c r="F2178" s="631" t="s">
        <v>3076</v>
      </c>
      <c r="G2178" s="661">
        <v>239</v>
      </c>
      <c r="H2178" s="633">
        <v>2310</v>
      </c>
      <c r="I2178" s="618"/>
      <c r="J2178" s="619" t="s">
        <v>1170</v>
      </c>
      <c r="K2178" s="618"/>
      <c r="L2178" s="619">
        <v>92</v>
      </c>
      <c r="M2178" s="620">
        <v>87</v>
      </c>
      <c r="N2178" s="619"/>
      <c r="O2178" s="619">
        <v>15</v>
      </c>
      <c r="P2178" s="619" t="s">
        <v>760</v>
      </c>
      <c r="Q2178" s="662"/>
      <c r="R2178" s="618"/>
      <c r="S2178" s="621" t="s">
        <v>2942</v>
      </c>
      <c r="T2178" s="619" t="s">
        <v>1078</v>
      </c>
    </row>
    <row r="2179" spans="1:20">
      <c r="A2179" s="630">
        <v>2502310</v>
      </c>
      <c r="B2179" s="628"/>
      <c r="C2179" s="623"/>
      <c r="D2179" s="623"/>
      <c r="E2179" s="627" t="s">
        <v>1172</v>
      </c>
      <c r="F2179" s="631" t="s">
        <v>3077</v>
      </c>
      <c r="G2179" s="661">
        <v>250</v>
      </c>
      <c r="H2179" s="633">
        <v>2310</v>
      </c>
      <c r="I2179" s="618"/>
      <c r="J2179" s="619" t="s">
        <v>1172</v>
      </c>
      <c r="K2179" s="618"/>
      <c r="L2179" s="619">
        <v>93</v>
      </c>
      <c r="M2179" s="620">
        <v>88</v>
      </c>
      <c r="N2179" s="619"/>
      <c r="O2179" s="619">
        <v>15</v>
      </c>
      <c r="P2179" s="619" t="s">
        <v>760</v>
      </c>
      <c r="Q2179" s="662"/>
      <c r="R2179" s="618"/>
      <c r="S2179" s="621" t="s">
        <v>2942</v>
      </c>
      <c r="T2179" s="619" t="s">
        <v>1079</v>
      </c>
    </row>
    <row r="2180" spans="1:20">
      <c r="A2180" s="630">
        <v>2602310</v>
      </c>
      <c r="B2180" s="628"/>
      <c r="C2180" s="623"/>
      <c r="D2180" s="623"/>
      <c r="E2180" s="627" t="s">
        <v>1174</v>
      </c>
      <c r="F2180" s="631" t="s">
        <v>3078</v>
      </c>
      <c r="G2180" s="661">
        <v>260</v>
      </c>
      <c r="H2180" s="633">
        <v>2310</v>
      </c>
      <c r="I2180" s="618"/>
      <c r="J2180" s="619" t="s">
        <v>1174</v>
      </c>
      <c r="K2180" s="618"/>
      <c r="L2180" s="619">
        <v>95</v>
      </c>
      <c r="M2180" s="620">
        <v>90</v>
      </c>
      <c r="N2180" s="619"/>
      <c r="O2180" s="619">
        <v>15</v>
      </c>
      <c r="P2180" s="619" t="s">
        <v>760</v>
      </c>
      <c r="Q2180" s="662"/>
      <c r="R2180" s="618"/>
      <c r="S2180" s="621" t="s">
        <v>2942</v>
      </c>
      <c r="T2180" s="619" t="s">
        <v>1081</v>
      </c>
    </row>
    <row r="2181" spans="1:20">
      <c r="A2181" s="630">
        <v>2702310</v>
      </c>
      <c r="B2181" s="628"/>
      <c r="C2181" s="623"/>
      <c r="D2181" s="623"/>
      <c r="E2181" s="627" t="s">
        <v>1176</v>
      </c>
      <c r="F2181" s="631" t="s">
        <v>3079</v>
      </c>
      <c r="G2181" s="661">
        <v>270</v>
      </c>
      <c r="H2181" s="633">
        <v>2310</v>
      </c>
      <c r="I2181" s="618"/>
      <c r="J2181" s="619" t="s">
        <v>1176</v>
      </c>
      <c r="K2181" s="618"/>
      <c r="L2181" s="619">
        <v>94</v>
      </c>
      <c r="M2181" s="620">
        <v>89</v>
      </c>
      <c r="N2181" s="619"/>
      <c r="O2181" s="619">
        <v>15</v>
      </c>
      <c r="P2181" s="619" t="s">
        <v>760</v>
      </c>
      <c r="Q2181" s="662"/>
      <c r="R2181" s="618"/>
      <c r="S2181" s="621" t="s">
        <v>2942</v>
      </c>
      <c r="T2181" s="619" t="s">
        <v>1083</v>
      </c>
    </row>
    <row r="2182" spans="1:20">
      <c r="A2182" s="630">
        <v>2812310</v>
      </c>
      <c r="B2182" s="628"/>
      <c r="C2182" s="623"/>
      <c r="D2182" s="623"/>
      <c r="E2182" s="627" t="s">
        <v>1178</v>
      </c>
      <c r="F2182" s="631" t="s">
        <v>3080</v>
      </c>
      <c r="G2182" s="661">
        <v>281</v>
      </c>
      <c r="H2182" s="633">
        <v>2310</v>
      </c>
      <c r="I2182" s="618"/>
      <c r="J2182" s="619" t="s">
        <v>1178</v>
      </c>
      <c r="K2182" s="618"/>
      <c r="L2182" s="619">
        <v>95</v>
      </c>
      <c r="M2182" s="620">
        <v>90</v>
      </c>
      <c r="N2182" s="619"/>
      <c r="O2182" s="619">
        <v>15</v>
      </c>
      <c r="P2182" s="619" t="s">
        <v>760</v>
      </c>
      <c r="Q2182" s="662"/>
      <c r="R2182" s="618"/>
      <c r="S2182" s="621" t="s">
        <v>2942</v>
      </c>
      <c r="T2182" s="619" t="s">
        <v>1085</v>
      </c>
    </row>
    <row r="2183" spans="1:20">
      <c r="A2183" s="630">
        <v>2822310</v>
      </c>
      <c r="B2183" s="628"/>
      <c r="C2183" s="623"/>
      <c r="D2183" s="623"/>
      <c r="E2183" s="627" t="s">
        <v>1180</v>
      </c>
      <c r="F2183" s="631" t="s">
        <v>3081</v>
      </c>
      <c r="G2183" s="661">
        <v>282</v>
      </c>
      <c r="H2183" s="633">
        <v>2310</v>
      </c>
      <c r="I2183" s="618"/>
      <c r="J2183" s="619" t="s">
        <v>1180</v>
      </c>
      <c r="K2183" s="618"/>
      <c r="L2183" s="619">
        <v>95</v>
      </c>
      <c r="M2183" s="620">
        <v>90</v>
      </c>
      <c r="N2183" s="619"/>
      <c r="O2183" s="619">
        <v>15</v>
      </c>
      <c r="P2183" s="619" t="s">
        <v>760</v>
      </c>
      <c r="Q2183" s="662"/>
      <c r="R2183" s="618"/>
      <c r="S2183" s="621" t="s">
        <v>2942</v>
      </c>
      <c r="T2183" s="619" t="s">
        <v>1087</v>
      </c>
    </row>
    <row r="2184" spans="1:20">
      <c r="A2184" s="630">
        <v>2902310</v>
      </c>
      <c r="B2184" s="628"/>
      <c r="C2184" s="623"/>
      <c r="D2184" s="623"/>
      <c r="E2184" s="627" t="s">
        <v>1182</v>
      </c>
      <c r="F2184" s="631" t="s">
        <v>3082</v>
      </c>
      <c r="G2184" s="661">
        <v>290</v>
      </c>
      <c r="H2184" s="633">
        <v>2310</v>
      </c>
      <c r="I2184" s="618"/>
      <c r="J2184" s="619" t="s">
        <v>1182</v>
      </c>
      <c r="K2184" s="618"/>
      <c r="L2184" s="619">
        <v>95</v>
      </c>
      <c r="M2184" s="620">
        <v>90</v>
      </c>
      <c r="N2184" s="619"/>
      <c r="O2184" s="619">
        <v>15</v>
      </c>
      <c r="P2184" s="619" t="s">
        <v>760</v>
      </c>
      <c r="Q2184" s="662"/>
      <c r="R2184" s="618"/>
      <c r="S2184" s="621" t="s">
        <v>2942</v>
      </c>
      <c r="T2184" s="619" t="s">
        <v>1090</v>
      </c>
    </row>
    <row r="2185" spans="1:20">
      <c r="A2185" s="622"/>
      <c r="B2185" s="628"/>
      <c r="C2185" s="629">
        <v>61</v>
      </c>
      <c r="D2185" s="784" t="s">
        <v>3083</v>
      </c>
      <c r="E2185" s="775"/>
      <c r="F2185" s="626"/>
      <c r="G2185" s="623"/>
      <c r="H2185" s="627"/>
      <c r="I2185" s="618"/>
      <c r="J2185" s="618"/>
      <c r="K2185" s="618"/>
      <c r="L2185" s="618"/>
      <c r="M2185" s="618"/>
      <c r="N2185" s="618"/>
      <c r="O2185" s="618"/>
      <c r="P2185" s="618"/>
      <c r="Q2185" s="662"/>
      <c r="R2185" s="618"/>
      <c r="S2185" s="621"/>
      <c r="T2185" s="618"/>
    </row>
    <row r="2186" spans="1:20">
      <c r="A2186" s="622"/>
      <c r="B2186" s="628"/>
      <c r="C2186" s="623"/>
      <c r="D2186" s="623" t="s">
        <v>756</v>
      </c>
      <c r="E2186" s="627" t="s">
        <v>244</v>
      </c>
      <c r="F2186" s="626"/>
      <c r="G2186" s="623"/>
      <c r="H2186" s="627"/>
      <c r="I2186" s="618"/>
      <c r="J2186" s="618"/>
      <c r="K2186" s="618"/>
      <c r="L2186" s="618"/>
      <c r="M2186" s="618"/>
      <c r="N2186" s="618"/>
      <c r="O2186" s="618"/>
      <c r="P2186" s="618"/>
      <c r="Q2186" s="662"/>
      <c r="R2186" s="618"/>
      <c r="S2186" s="621"/>
      <c r="T2186" s="618"/>
    </row>
    <row r="2187" spans="1:20">
      <c r="A2187" s="630">
        <v>1112321</v>
      </c>
      <c r="B2187" s="628"/>
      <c r="C2187" s="623"/>
      <c r="D2187" s="623"/>
      <c r="E2187" s="627" t="s">
        <v>3084</v>
      </c>
      <c r="F2187" s="631" t="s">
        <v>3085</v>
      </c>
      <c r="G2187" s="661">
        <v>111</v>
      </c>
      <c r="H2187" s="633">
        <v>2321</v>
      </c>
      <c r="I2187" s="618"/>
      <c r="J2187" s="619" t="s">
        <v>3084</v>
      </c>
      <c r="K2187" s="618"/>
      <c r="L2187" s="619">
        <v>81</v>
      </c>
      <c r="M2187" s="620">
        <v>76</v>
      </c>
      <c r="N2187" s="619"/>
      <c r="O2187" s="619">
        <v>15</v>
      </c>
      <c r="P2187" s="619" t="s">
        <v>760</v>
      </c>
      <c r="Q2187" s="662"/>
      <c r="R2187" s="618"/>
      <c r="S2187" s="621" t="s">
        <v>3083</v>
      </c>
      <c r="T2187" s="619" t="s">
        <v>3086</v>
      </c>
    </row>
    <row r="2188" spans="1:20">
      <c r="A2188" s="630">
        <v>1142321</v>
      </c>
      <c r="B2188" s="628"/>
      <c r="C2188" s="623"/>
      <c r="D2188" s="623"/>
      <c r="E2188" s="627" t="s">
        <v>3087</v>
      </c>
      <c r="F2188" s="631" t="s">
        <v>3088</v>
      </c>
      <c r="G2188" s="661">
        <v>114</v>
      </c>
      <c r="H2188" s="633">
        <v>2321</v>
      </c>
      <c r="I2188" s="618"/>
      <c r="J2188" s="619" t="s">
        <v>3087</v>
      </c>
      <c r="K2188" s="618"/>
      <c r="L2188" s="619">
        <v>84</v>
      </c>
      <c r="M2188" s="620">
        <v>79</v>
      </c>
      <c r="N2188" s="619"/>
      <c r="O2188" s="619">
        <v>15</v>
      </c>
      <c r="P2188" s="619" t="s">
        <v>760</v>
      </c>
      <c r="Q2188" s="662"/>
      <c r="R2188" s="618"/>
      <c r="S2188" s="621" t="s">
        <v>3083</v>
      </c>
      <c r="T2188" s="619" t="s">
        <v>3089</v>
      </c>
    </row>
    <row r="2189" spans="1:20">
      <c r="A2189" s="630">
        <v>1112324</v>
      </c>
      <c r="B2189" s="628"/>
      <c r="C2189" s="623"/>
      <c r="D2189" s="623"/>
      <c r="E2189" s="627" t="s">
        <v>3090</v>
      </c>
      <c r="F2189" s="631" t="s">
        <v>3091</v>
      </c>
      <c r="G2189" s="661">
        <v>111</v>
      </c>
      <c r="H2189" s="633">
        <v>2324</v>
      </c>
      <c r="I2189" s="618"/>
      <c r="J2189" s="619" t="s">
        <v>3090</v>
      </c>
      <c r="K2189" s="618"/>
      <c r="L2189" s="619">
        <v>81</v>
      </c>
      <c r="M2189" s="620">
        <v>76</v>
      </c>
      <c r="N2189" s="619"/>
      <c r="O2189" s="619">
        <v>15</v>
      </c>
      <c r="P2189" s="619" t="s">
        <v>760</v>
      </c>
      <c r="Q2189" s="662"/>
      <c r="R2189" s="618"/>
      <c r="S2189" s="621" t="s">
        <v>3083</v>
      </c>
      <c r="T2189" s="619" t="s">
        <v>3092</v>
      </c>
    </row>
    <row r="2190" spans="1:20">
      <c r="A2190" s="630">
        <v>1142324</v>
      </c>
      <c r="B2190" s="628"/>
      <c r="C2190" s="623"/>
      <c r="D2190" s="623"/>
      <c r="E2190" s="627" t="s">
        <v>3093</v>
      </c>
      <c r="F2190" s="631" t="s">
        <v>3094</v>
      </c>
      <c r="G2190" s="661">
        <v>114</v>
      </c>
      <c r="H2190" s="633">
        <v>2324</v>
      </c>
      <c r="I2190" s="618"/>
      <c r="J2190" s="619" t="s">
        <v>3093</v>
      </c>
      <c r="K2190" s="618"/>
      <c r="L2190" s="619">
        <v>84</v>
      </c>
      <c r="M2190" s="620">
        <v>79</v>
      </c>
      <c r="N2190" s="619"/>
      <c r="O2190" s="619">
        <v>15</v>
      </c>
      <c r="P2190" s="619" t="s">
        <v>760</v>
      </c>
      <c r="Q2190" s="662"/>
      <c r="R2190" s="618"/>
      <c r="S2190" s="621" t="s">
        <v>3083</v>
      </c>
      <c r="T2190" s="619" t="s">
        <v>3095</v>
      </c>
    </row>
    <row r="2191" spans="1:20">
      <c r="A2191" s="630">
        <v>1002320</v>
      </c>
      <c r="B2191" s="628"/>
      <c r="C2191" s="623"/>
      <c r="D2191" s="623"/>
      <c r="E2191" s="627" t="s">
        <v>3096</v>
      </c>
      <c r="F2191" s="631" t="s">
        <v>3097</v>
      </c>
      <c r="G2191" s="661">
        <v>100</v>
      </c>
      <c r="H2191" s="633">
        <v>2320</v>
      </c>
      <c r="I2191" s="618"/>
      <c r="J2191" s="619" t="s">
        <v>3096</v>
      </c>
      <c r="K2191" s="618"/>
      <c r="L2191" s="619">
        <v>86</v>
      </c>
      <c r="M2191" s="620">
        <v>81</v>
      </c>
      <c r="N2191" s="619"/>
      <c r="O2191" s="619">
        <v>15</v>
      </c>
      <c r="P2191" s="619" t="s">
        <v>760</v>
      </c>
      <c r="Q2191" s="662"/>
      <c r="R2191" s="618"/>
      <c r="S2191" s="621" t="s">
        <v>3083</v>
      </c>
      <c r="T2191" s="619" t="s">
        <v>3098</v>
      </c>
    </row>
    <row r="2192" spans="1:20">
      <c r="A2192" s="630">
        <v>1402320</v>
      </c>
      <c r="B2192" s="628"/>
      <c r="C2192" s="623"/>
      <c r="D2192" s="623"/>
      <c r="E2192" s="627" t="s">
        <v>1110</v>
      </c>
      <c r="F2192" s="631" t="s">
        <v>3099</v>
      </c>
      <c r="G2192" s="661">
        <v>140</v>
      </c>
      <c r="H2192" s="633">
        <v>2320</v>
      </c>
      <c r="I2192" s="618"/>
      <c r="J2192" s="619" t="s">
        <v>1110</v>
      </c>
      <c r="K2192" s="618"/>
      <c r="L2192" s="619">
        <v>86</v>
      </c>
      <c r="M2192" s="620">
        <v>81</v>
      </c>
      <c r="N2192" s="619"/>
      <c r="O2192" s="619">
        <v>15</v>
      </c>
      <c r="P2192" s="619" t="s">
        <v>760</v>
      </c>
      <c r="Q2192" s="662"/>
      <c r="R2192" s="618"/>
      <c r="S2192" s="621" t="s">
        <v>3083</v>
      </c>
      <c r="T2192" s="619" t="s">
        <v>1017</v>
      </c>
    </row>
    <row r="2193" spans="1:20">
      <c r="A2193" s="630">
        <v>3002320</v>
      </c>
      <c r="B2193" s="628"/>
      <c r="C2193" s="623"/>
      <c r="D2193" s="623" t="s">
        <v>775</v>
      </c>
      <c r="E2193" s="627" t="s">
        <v>1112</v>
      </c>
      <c r="F2193" s="631" t="s">
        <v>3100</v>
      </c>
      <c r="G2193" s="661">
        <v>300</v>
      </c>
      <c r="H2193" s="633">
        <v>2320</v>
      </c>
      <c r="I2193" s="618"/>
      <c r="J2193" s="619" t="s">
        <v>1112</v>
      </c>
      <c r="K2193" s="618"/>
      <c r="L2193" s="619">
        <v>101</v>
      </c>
      <c r="M2193" s="620">
        <v>96</v>
      </c>
      <c r="N2193" s="619"/>
      <c r="O2193" s="619">
        <v>15</v>
      </c>
      <c r="P2193" s="619" t="s">
        <v>760</v>
      </c>
      <c r="Q2193" s="662"/>
      <c r="R2193" s="618"/>
      <c r="S2193" s="621" t="s">
        <v>3083</v>
      </c>
      <c r="T2193" s="619" t="s">
        <v>1112</v>
      </c>
    </row>
    <row r="2194" spans="1:20">
      <c r="A2194" s="622"/>
      <c r="B2194" s="628"/>
      <c r="C2194" s="623"/>
      <c r="D2194" s="623" t="s">
        <v>799</v>
      </c>
      <c r="E2194" s="627" t="s">
        <v>250</v>
      </c>
      <c r="F2194" s="626"/>
      <c r="G2194" s="623"/>
      <c r="H2194" s="627"/>
      <c r="I2194" s="618"/>
      <c r="J2194" s="618"/>
      <c r="K2194" s="618"/>
      <c r="L2194" s="618"/>
      <c r="M2194" s="618"/>
      <c r="N2194" s="618"/>
      <c r="O2194" s="618"/>
      <c r="P2194" s="618"/>
      <c r="Q2194" s="662"/>
      <c r="R2194" s="618"/>
      <c r="S2194" s="621"/>
      <c r="T2194" s="618"/>
    </row>
    <row r="2195" spans="1:20">
      <c r="A2195" s="630">
        <v>4302320</v>
      </c>
      <c r="B2195" s="628"/>
      <c r="C2195" s="623"/>
      <c r="D2195" s="623"/>
      <c r="E2195" s="627" t="s">
        <v>1114</v>
      </c>
      <c r="F2195" s="631" t="s">
        <v>3101</v>
      </c>
      <c r="G2195" s="661">
        <v>430</v>
      </c>
      <c r="H2195" s="633">
        <v>2320</v>
      </c>
      <c r="I2195" s="618"/>
      <c r="J2195" s="619" t="s">
        <v>1114</v>
      </c>
      <c r="K2195" s="618"/>
      <c r="L2195" s="619">
        <v>107</v>
      </c>
      <c r="M2195" s="620">
        <v>102</v>
      </c>
      <c r="N2195" s="619"/>
      <c r="O2195" s="619">
        <v>15</v>
      </c>
      <c r="P2195" s="619" t="s">
        <v>760</v>
      </c>
      <c r="Q2195" s="662"/>
      <c r="R2195" s="618"/>
      <c r="S2195" s="621" t="s">
        <v>3083</v>
      </c>
      <c r="T2195" s="619" t="s">
        <v>1021</v>
      </c>
    </row>
    <row r="2196" spans="1:20">
      <c r="A2196" s="630">
        <v>4422320</v>
      </c>
      <c r="B2196" s="628"/>
      <c r="C2196" s="623"/>
      <c r="D2196" s="623"/>
      <c r="E2196" s="627" t="s">
        <v>1381</v>
      </c>
      <c r="F2196" s="631" t="s">
        <v>3102</v>
      </c>
      <c r="G2196" s="661">
        <v>442</v>
      </c>
      <c r="H2196" s="633">
        <v>2320</v>
      </c>
      <c r="I2196" s="618"/>
      <c r="J2196" s="619" t="s">
        <v>1381</v>
      </c>
      <c r="K2196" s="618"/>
      <c r="L2196" s="619">
        <v>106</v>
      </c>
      <c r="M2196" s="620">
        <v>101</v>
      </c>
      <c r="N2196" s="619"/>
      <c r="O2196" s="619">
        <v>15</v>
      </c>
      <c r="P2196" s="619" t="s">
        <v>760</v>
      </c>
      <c r="Q2196" s="662"/>
      <c r="R2196" s="618"/>
      <c r="S2196" s="621" t="s">
        <v>3083</v>
      </c>
      <c r="T2196" s="619" t="s">
        <v>1383</v>
      </c>
    </row>
    <row r="2197" spans="1:20">
      <c r="A2197" s="630">
        <v>4002320</v>
      </c>
      <c r="B2197" s="628"/>
      <c r="C2197" s="623"/>
      <c r="D2197" s="623"/>
      <c r="E2197" s="627" t="s">
        <v>1118</v>
      </c>
      <c r="F2197" s="631" t="s">
        <v>3103</v>
      </c>
      <c r="G2197" s="661">
        <v>400</v>
      </c>
      <c r="H2197" s="633">
        <v>2320</v>
      </c>
      <c r="I2197" s="618"/>
      <c r="J2197" s="619" t="s">
        <v>1118</v>
      </c>
      <c r="K2197" s="618"/>
      <c r="L2197" s="619">
        <v>108</v>
      </c>
      <c r="M2197" s="620">
        <v>103</v>
      </c>
      <c r="N2197" s="619"/>
      <c r="O2197" s="619">
        <v>15</v>
      </c>
      <c r="P2197" s="619" t="s">
        <v>760</v>
      </c>
      <c r="Q2197" s="662"/>
      <c r="R2197" s="618"/>
      <c r="S2197" s="621" t="s">
        <v>3083</v>
      </c>
      <c r="T2197" s="619" t="s">
        <v>1025</v>
      </c>
    </row>
    <row r="2198" spans="1:20">
      <c r="A2198" s="622"/>
      <c r="B2198" s="628"/>
      <c r="C2198" s="623"/>
      <c r="D2198" s="623" t="s">
        <v>803</v>
      </c>
      <c r="E2198" s="627" t="s">
        <v>252</v>
      </c>
      <c r="F2198" s="626"/>
      <c r="G2198" s="623"/>
      <c r="H2198" s="627"/>
      <c r="I2198" s="618"/>
      <c r="J2198" s="618"/>
      <c r="K2198" s="618"/>
      <c r="L2198" s="618"/>
      <c r="M2198" s="618"/>
      <c r="N2198" s="618"/>
      <c r="O2198" s="618"/>
      <c r="P2198" s="618"/>
      <c r="Q2198" s="662"/>
      <c r="R2198" s="618"/>
      <c r="S2198" s="621"/>
      <c r="T2198" s="618"/>
    </row>
    <row r="2199" spans="1:20">
      <c r="A2199" s="630">
        <v>5302320</v>
      </c>
      <c r="B2199" s="628"/>
      <c r="C2199" s="623"/>
      <c r="D2199" s="623"/>
      <c r="E2199" s="627" t="s">
        <v>3104</v>
      </c>
      <c r="F2199" s="631" t="s">
        <v>3105</v>
      </c>
      <c r="G2199" s="661">
        <v>530</v>
      </c>
      <c r="H2199" s="633">
        <v>2320</v>
      </c>
      <c r="I2199" s="618"/>
      <c r="J2199" s="619" t="s">
        <v>3104</v>
      </c>
      <c r="K2199" s="618"/>
      <c r="L2199" s="619">
        <v>119</v>
      </c>
      <c r="M2199" s="620">
        <v>110</v>
      </c>
      <c r="N2199" s="619"/>
      <c r="O2199" s="619">
        <v>15</v>
      </c>
      <c r="P2199" s="619" t="s">
        <v>760</v>
      </c>
      <c r="Q2199" s="662"/>
      <c r="R2199" s="618"/>
      <c r="S2199" s="621" t="s">
        <v>3083</v>
      </c>
      <c r="T2199" s="619" t="s">
        <v>3019</v>
      </c>
    </row>
    <row r="2200" spans="1:20">
      <c r="A2200" s="622"/>
      <c r="B2200" s="628"/>
      <c r="C2200" s="623"/>
      <c r="D2200" s="623"/>
      <c r="E2200" s="627" t="s">
        <v>3106</v>
      </c>
      <c r="F2200" s="626"/>
      <c r="G2200" s="623"/>
      <c r="H2200" s="627"/>
      <c r="I2200" s="618"/>
      <c r="J2200" s="618"/>
      <c r="K2200" s="618"/>
      <c r="L2200" s="618"/>
      <c r="M2200" s="618"/>
      <c r="N2200" s="618"/>
      <c r="O2200" s="618"/>
      <c r="P2200" s="618"/>
      <c r="Q2200" s="662"/>
      <c r="R2200" s="618"/>
      <c r="S2200" s="621"/>
      <c r="T2200" s="618"/>
    </row>
    <row r="2201" spans="1:20">
      <c r="A2201" s="630">
        <v>5812320</v>
      </c>
      <c r="B2201" s="628"/>
      <c r="C2201" s="623"/>
      <c r="D2201" s="623"/>
      <c r="E2201" s="627" t="s">
        <v>3107</v>
      </c>
      <c r="F2201" s="631" t="s">
        <v>3108</v>
      </c>
      <c r="G2201" s="661">
        <v>581</v>
      </c>
      <c r="H2201" s="633">
        <v>2320</v>
      </c>
      <c r="I2201" s="618"/>
      <c r="J2201" s="619" t="s">
        <v>3107</v>
      </c>
      <c r="K2201" s="618"/>
      <c r="L2201" s="619">
        <v>118</v>
      </c>
      <c r="M2201" s="620">
        <v>109</v>
      </c>
      <c r="N2201" s="619"/>
      <c r="O2201" s="619">
        <v>15</v>
      </c>
      <c r="P2201" s="619" t="s">
        <v>760</v>
      </c>
      <c r="Q2201" s="662"/>
      <c r="R2201" s="618"/>
      <c r="S2201" s="621" t="s">
        <v>3083</v>
      </c>
      <c r="T2201" s="619" t="s">
        <v>3109</v>
      </c>
    </row>
    <row r="2202" spans="1:20">
      <c r="A2202" s="630">
        <v>5822320</v>
      </c>
      <c r="B2202" s="628"/>
      <c r="C2202" s="623"/>
      <c r="D2202" s="623"/>
      <c r="E2202" s="627" t="s">
        <v>3110</v>
      </c>
      <c r="F2202" s="631" t="s">
        <v>3111</v>
      </c>
      <c r="G2202" s="661">
        <v>582</v>
      </c>
      <c r="H2202" s="633">
        <v>2320</v>
      </c>
      <c r="I2202" s="618"/>
      <c r="J2202" s="619" t="s">
        <v>3110</v>
      </c>
      <c r="K2202" s="618"/>
      <c r="L2202" s="619">
        <v>118</v>
      </c>
      <c r="M2202" s="620">
        <v>109</v>
      </c>
      <c r="N2202" s="619"/>
      <c r="O2202" s="619">
        <v>15</v>
      </c>
      <c r="P2202" s="619" t="s">
        <v>760</v>
      </c>
      <c r="Q2202" s="662"/>
      <c r="R2202" s="618"/>
      <c r="S2202" s="621" t="s">
        <v>3083</v>
      </c>
      <c r="T2202" s="619" t="s">
        <v>1037</v>
      </c>
    </row>
    <row r="2203" spans="1:20">
      <c r="A2203" s="622"/>
      <c r="B2203" s="628"/>
      <c r="C2203" s="623"/>
      <c r="D2203" s="623"/>
      <c r="E2203" s="627" t="s">
        <v>3112</v>
      </c>
      <c r="F2203" s="626"/>
      <c r="G2203" s="623"/>
      <c r="H2203" s="627"/>
      <c r="I2203" s="618"/>
      <c r="J2203" s="618"/>
      <c r="K2203" s="618"/>
      <c r="L2203" s="618"/>
      <c r="M2203" s="618"/>
      <c r="N2203" s="618"/>
      <c r="O2203" s="618"/>
      <c r="P2203" s="618"/>
      <c r="Q2203" s="662"/>
      <c r="R2203" s="618"/>
      <c r="S2203" s="621"/>
      <c r="T2203" s="618"/>
    </row>
    <row r="2204" spans="1:20">
      <c r="A2204" s="630">
        <v>5962320</v>
      </c>
      <c r="B2204" s="628"/>
      <c r="C2204" s="623"/>
      <c r="D2204" s="623"/>
      <c r="E2204" s="627" t="s">
        <v>3113</v>
      </c>
      <c r="F2204" s="631" t="s">
        <v>3114</v>
      </c>
      <c r="G2204" s="661">
        <v>596</v>
      </c>
      <c r="H2204" s="633">
        <v>2320</v>
      </c>
      <c r="I2204" s="618"/>
      <c r="J2204" s="619" t="s">
        <v>3113</v>
      </c>
      <c r="K2204" s="618"/>
      <c r="L2204" s="619">
        <v>119</v>
      </c>
      <c r="M2204" s="620">
        <v>110</v>
      </c>
      <c r="N2204" s="619"/>
      <c r="O2204" s="619">
        <v>15</v>
      </c>
      <c r="P2204" s="619" t="s">
        <v>760</v>
      </c>
      <c r="Q2204" s="662"/>
      <c r="R2204" s="618"/>
      <c r="S2204" s="621" t="s">
        <v>3083</v>
      </c>
      <c r="T2204" s="619" t="s">
        <v>3115</v>
      </c>
    </row>
    <row r="2205" spans="1:20">
      <c r="A2205" s="630">
        <v>5972320</v>
      </c>
      <c r="B2205" s="628"/>
      <c r="C2205" s="623"/>
      <c r="D2205" s="623"/>
      <c r="E2205" s="627" t="s">
        <v>3116</v>
      </c>
      <c r="F2205" s="631" t="s">
        <v>3117</v>
      </c>
      <c r="G2205" s="661">
        <v>597</v>
      </c>
      <c r="H2205" s="633">
        <v>2320</v>
      </c>
      <c r="I2205" s="618"/>
      <c r="J2205" s="619" t="s">
        <v>3116</v>
      </c>
      <c r="K2205" s="618"/>
      <c r="L2205" s="619">
        <v>119</v>
      </c>
      <c r="M2205" s="620">
        <v>110</v>
      </c>
      <c r="N2205" s="619"/>
      <c r="O2205" s="619">
        <v>15</v>
      </c>
      <c r="P2205" s="619" t="s">
        <v>760</v>
      </c>
      <c r="Q2205" s="662"/>
      <c r="R2205" s="618"/>
      <c r="S2205" s="621" t="s">
        <v>3083</v>
      </c>
      <c r="T2205" s="619" t="s">
        <v>3118</v>
      </c>
    </row>
    <row r="2206" spans="1:20">
      <c r="A2206" s="630">
        <v>5002320</v>
      </c>
      <c r="B2206" s="628"/>
      <c r="C2206" s="623"/>
      <c r="D2206" s="623"/>
      <c r="E2206" s="627" t="s">
        <v>1394</v>
      </c>
      <c r="F2206" s="631" t="s">
        <v>3119</v>
      </c>
      <c r="G2206" s="661">
        <v>500</v>
      </c>
      <c r="H2206" s="633">
        <v>2320</v>
      </c>
      <c r="I2206" s="618"/>
      <c r="J2206" s="619" t="s">
        <v>1394</v>
      </c>
      <c r="K2206" s="618"/>
      <c r="L2206" s="619">
        <v>119</v>
      </c>
      <c r="M2206" s="620">
        <v>110</v>
      </c>
      <c r="N2206" s="619"/>
      <c r="O2206" s="619">
        <v>15</v>
      </c>
      <c r="P2206" s="619" t="s">
        <v>760</v>
      </c>
      <c r="Q2206" s="662"/>
      <c r="R2206" s="618"/>
      <c r="S2206" s="621" t="s">
        <v>3083</v>
      </c>
      <c r="T2206" s="619" t="s">
        <v>252</v>
      </c>
    </row>
    <row r="2207" spans="1:20">
      <c r="A2207" s="622"/>
      <c r="B2207" s="628"/>
      <c r="C2207" s="623"/>
      <c r="D2207" s="623" t="s">
        <v>848</v>
      </c>
      <c r="E2207" s="627" t="s">
        <v>254</v>
      </c>
      <c r="F2207" s="626"/>
      <c r="G2207" s="623"/>
      <c r="H2207" s="627"/>
      <c r="I2207" s="618"/>
      <c r="J2207" s="618"/>
      <c r="K2207" s="618"/>
      <c r="L2207" s="618"/>
      <c r="M2207" s="618"/>
      <c r="N2207" s="618"/>
      <c r="O2207" s="618"/>
      <c r="P2207" s="618"/>
      <c r="Q2207" s="662"/>
      <c r="R2207" s="618"/>
      <c r="S2207" s="621"/>
      <c r="T2207" s="618"/>
    </row>
    <row r="2208" spans="1:20">
      <c r="A2208" s="630">
        <v>6152320</v>
      </c>
      <c r="B2208" s="628"/>
      <c r="C2208" s="623"/>
      <c r="D2208" s="623"/>
      <c r="E2208" s="627" t="s">
        <v>1138</v>
      </c>
      <c r="F2208" s="631" t="s">
        <v>3120</v>
      </c>
      <c r="G2208" s="661">
        <v>615</v>
      </c>
      <c r="H2208" s="633">
        <v>2320</v>
      </c>
      <c r="I2208" s="618"/>
      <c r="J2208" s="619" t="s">
        <v>1138</v>
      </c>
      <c r="K2208" s="618"/>
      <c r="L2208" s="619">
        <v>126</v>
      </c>
      <c r="M2208" s="620">
        <v>117</v>
      </c>
      <c r="N2208" s="619"/>
      <c r="O2208" s="619">
        <v>15</v>
      </c>
      <c r="P2208" s="619" t="s">
        <v>760</v>
      </c>
      <c r="Q2208" s="662" t="s">
        <v>1043</v>
      </c>
      <c r="R2208" s="618"/>
      <c r="S2208" s="621" t="s">
        <v>3083</v>
      </c>
      <c r="T2208" s="619" t="s">
        <v>1041</v>
      </c>
    </row>
    <row r="2209" spans="1:20">
      <c r="A2209" s="630">
        <v>6102320</v>
      </c>
      <c r="B2209" s="628"/>
      <c r="C2209" s="623"/>
      <c r="D2209" s="623"/>
      <c r="E2209" s="627" t="s">
        <v>1140</v>
      </c>
      <c r="F2209" s="631" t="s">
        <v>3121</v>
      </c>
      <c r="G2209" s="661">
        <v>610</v>
      </c>
      <c r="H2209" s="633">
        <v>2320</v>
      </c>
      <c r="I2209" s="618"/>
      <c r="J2209" s="619" t="s">
        <v>1140</v>
      </c>
      <c r="K2209" s="618"/>
      <c r="L2209" s="619">
        <v>122</v>
      </c>
      <c r="M2209" s="620">
        <v>113</v>
      </c>
      <c r="N2209" s="619"/>
      <c r="O2209" s="619">
        <v>15</v>
      </c>
      <c r="P2209" s="619" t="s">
        <v>760</v>
      </c>
      <c r="Q2209" s="662" t="s">
        <v>1043</v>
      </c>
      <c r="R2209" s="618"/>
      <c r="S2209" s="621" t="s">
        <v>3083</v>
      </c>
      <c r="T2209" s="619" t="s">
        <v>39</v>
      </c>
    </row>
    <row r="2210" spans="1:20">
      <c r="A2210" s="630">
        <v>6002320</v>
      </c>
      <c r="B2210" s="628"/>
      <c r="C2210" s="623"/>
      <c r="D2210" s="623"/>
      <c r="E2210" s="627" t="s">
        <v>1869</v>
      </c>
      <c r="F2210" s="631" t="s">
        <v>3122</v>
      </c>
      <c r="G2210" s="661">
        <v>600</v>
      </c>
      <c r="H2210" s="633">
        <v>2320</v>
      </c>
      <c r="I2210" s="618"/>
      <c r="J2210" s="619" t="s">
        <v>1869</v>
      </c>
      <c r="K2210" s="618"/>
      <c r="L2210" s="619">
        <v>126</v>
      </c>
      <c r="M2210" s="620">
        <v>117</v>
      </c>
      <c r="N2210" s="619"/>
      <c r="O2210" s="619">
        <v>15</v>
      </c>
      <c r="P2210" s="619" t="s">
        <v>760</v>
      </c>
      <c r="Q2210" s="662"/>
      <c r="R2210" s="618"/>
      <c r="S2210" s="621" t="s">
        <v>3083</v>
      </c>
      <c r="T2210" s="619" t="s">
        <v>1048</v>
      </c>
    </row>
    <row r="2211" spans="1:20">
      <c r="A2211" s="622"/>
      <c r="B2211" s="628"/>
      <c r="C2211" s="623"/>
      <c r="D2211" s="623" t="s">
        <v>851</v>
      </c>
      <c r="E2211" s="627" t="s">
        <v>1050</v>
      </c>
      <c r="F2211" s="626"/>
      <c r="G2211" s="623"/>
      <c r="H2211" s="627"/>
      <c r="I2211" s="618"/>
      <c r="J2211" s="618"/>
      <c r="K2211" s="618"/>
      <c r="L2211" s="618"/>
      <c r="M2211" s="618"/>
      <c r="N2211" s="618"/>
      <c r="O2211" s="618"/>
      <c r="P2211" s="618"/>
      <c r="Q2211" s="662"/>
      <c r="R2211" s="618"/>
      <c r="S2211" s="621"/>
      <c r="T2211" s="618"/>
    </row>
    <row r="2212" spans="1:20">
      <c r="A2212" s="630">
        <v>7342320</v>
      </c>
      <c r="B2212" s="628"/>
      <c r="C2212" s="623"/>
      <c r="D2212" s="623"/>
      <c r="E2212" s="627" t="s">
        <v>1146</v>
      </c>
      <c r="F2212" s="631" t="s">
        <v>3123</v>
      </c>
      <c r="G2212" s="661">
        <v>734</v>
      </c>
      <c r="H2212" s="633">
        <v>2320</v>
      </c>
      <c r="I2212" s="618"/>
      <c r="J2212" s="619" t="s">
        <v>1146</v>
      </c>
      <c r="K2212" s="618"/>
      <c r="L2212" s="619">
        <v>131</v>
      </c>
      <c r="M2212" s="620">
        <v>122</v>
      </c>
      <c r="N2212" s="619"/>
      <c r="O2212" s="619">
        <v>15</v>
      </c>
      <c r="P2212" s="619" t="s">
        <v>760</v>
      </c>
      <c r="Q2212" s="662"/>
      <c r="R2212" s="618"/>
      <c r="S2212" s="621" t="s">
        <v>3083</v>
      </c>
      <c r="T2212" s="619" t="s">
        <v>1051</v>
      </c>
    </row>
    <row r="2213" spans="1:20">
      <c r="A2213" s="630">
        <v>7352320</v>
      </c>
      <c r="B2213" s="628"/>
      <c r="C2213" s="623"/>
      <c r="D2213" s="623"/>
      <c r="E2213" s="627" t="s">
        <v>1148</v>
      </c>
      <c r="F2213" s="631" t="s">
        <v>3124</v>
      </c>
      <c r="G2213" s="661">
        <v>735</v>
      </c>
      <c r="H2213" s="633">
        <v>2320</v>
      </c>
      <c r="I2213" s="618"/>
      <c r="J2213" s="619" t="s">
        <v>1148</v>
      </c>
      <c r="K2213" s="618"/>
      <c r="L2213" s="619">
        <v>131</v>
      </c>
      <c r="M2213" s="620">
        <v>122</v>
      </c>
      <c r="N2213" s="619"/>
      <c r="O2213" s="619">
        <v>15</v>
      </c>
      <c r="P2213" s="619" t="s">
        <v>760</v>
      </c>
      <c r="Q2213" s="662"/>
      <c r="R2213" s="618"/>
      <c r="S2213" s="621" t="s">
        <v>3083</v>
      </c>
      <c r="T2213" s="619" t="s">
        <v>1053</v>
      </c>
    </row>
    <row r="2214" spans="1:20">
      <c r="A2214" s="630">
        <v>7302320</v>
      </c>
      <c r="B2214" s="628"/>
      <c r="C2214" s="623"/>
      <c r="D2214" s="623"/>
      <c r="E2214" s="627" t="s">
        <v>3125</v>
      </c>
      <c r="F2214" s="631" t="s">
        <v>3126</v>
      </c>
      <c r="G2214" s="661">
        <v>730</v>
      </c>
      <c r="H2214" s="633">
        <v>2320</v>
      </c>
      <c r="I2214" s="618"/>
      <c r="J2214" s="619" t="s">
        <v>3125</v>
      </c>
      <c r="K2214" s="618"/>
      <c r="L2214" s="619">
        <v>131</v>
      </c>
      <c r="M2214" s="620">
        <v>122</v>
      </c>
      <c r="N2214" s="619"/>
      <c r="O2214" s="619">
        <v>15</v>
      </c>
      <c r="P2214" s="619" t="s">
        <v>760</v>
      </c>
      <c r="Q2214" s="662"/>
      <c r="R2214" s="618"/>
      <c r="S2214" s="621" t="s">
        <v>3083</v>
      </c>
      <c r="T2214" s="619" t="s">
        <v>1055</v>
      </c>
    </row>
    <row r="2215" spans="1:20">
      <c r="A2215" s="630">
        <v>7002320</v>
      </c>
      <c r="B2215" s="628"/>
      <c r="C2215" s="623"/>
      <c r="D2215" s="623"/>
      <c r="E2215" s="627" t="s">
        <v>1152</v>
      </c>
      <c r="F2215" s="631" t="s">
        <v>3127</v>
      </c>
      <c r="G2215" s="661">
        <v>700</v>
      </c>
      <c r="H2215" s="633">
        <v>2320</v>
      </c>
      <c r="I2215" s="618"/>
      <c r="J2215" s="619" t="s">
        <v>1152</v>
      </c>
      <c r="K2215" s="618"/>
      <c r="L2215" s="619">
        <v>132</v>
      </c>
      <c r="M2215" s="620">
        <v>123</v>
      </c>
      <c r="N2215" s="619"/>
      <c r="O2215" s="619">
        <v>15</v>
      </c>
      <c r="P2215" s="619" t="s">
        <v>760</v>
      </c>
      <c r="Q2215" s="662"/>
      <c r="R2215" s="618"/>
      <c r="S2215" s="621" t="s">
        <v>3083</v>
      </c>
      <c r="T2215" s="619" t="s">
        <v>1057</v>
      </c>
    </row>
    <row r="2216" spans="1:20">
      <c r="A2216" s="622"/>
      <c r="B2216" s="628"/>
      <c r="C2216" s="623"/>
      <c r="D2216" s="623" t="s">
        <v>854</v>
      </c>
      <c r="E2216" s="627" t="s">
        <v>256</v>
      </c>
      <c r="F2216" s="626"/>
      <c r="G2216" s="623"/>
      <c r="H2216" s="627"/>
      <c r="I2216" s="618"/>
      <c r="J2216" s="618"/>
      <c r="K2216" s="618"/>
      <c r="L2216" s="618"/>
      <c r="M2216" s="618"/>
      <c r="N2216" s="618"/>
      <c r="O2216" s="618"/>
      <c r="P2216" s="618"/>
      <c r="Q2216" s="662"/>
      <c r="R2216" s="618"/>
      <c r="S2216" s="621"/>
      <c r="T2216" s="618"/>
    </row>
    <row r="2217" spans="1:20">
      <c r="A2217" s="630">
        <v>8952320</v>
      </c>
      <c r="B2217" s="628"/>
      <c r="C2217" s="623"/>
      <c r="D2217" s="623"/>
      <c r="E2217" s="627" t="s">
        <v>1154</v>
      </c>
      <c r="F2217" s="631" t="s">
        <v>3128</v>
      </c>
      <c r="G2217" s="661">
        <v>895</v>
      </c>
      <c r="H2217" s="633">
        <v>2320</v>
      </c>
      <c r="I2217" s="618"/>
      <c r="J2217" s="619" t="s">
        <v>1154</v>
      </c>
      <c r="K2217" s="618"/>
      <c r="L2217" s="619">
        <v>139</v>
      </c>
      <c r="M2217" s="620">
        <v>129</v>
      </c>
      <c r="N2217" s="619"/>
      <c r="O2217" s="619">
        <v>15</v>
      </c>
      <c r="P2217" s="619" t="s">
        <v>760</v>
      </c>
      <c r="Q2217" s="662"/>
      <c r="R2217" s="618"/>
      <c r="S2217" s="621" t="s">
        <v>3083</v>
      </c>
      <c r="T2217" s="619" t="s">
        <v>1059</v>
      </c>
    </row>
    <row r="2218" spans="1:20">
      <c r="A2218" s="630">
        <v>8002320</v>
      </c>
      <c r="B2218" s="628"/>
      <c r="C2218" s="623"/>
      <c r="D2218" s="623"/>
      <c r="E2218" s="627" t="s">
        <v>1156</v>
      </c>
      <c r="F2218" s="631" t="s">
        <v>3129</v>
      </c>
      <c r="G2218" s="661">
        <v>800</v>
      </c>
      <c r="H2218" s="633">
        <v>2320</v>
      </c>
      <c r="I2218" s="618"/>
      <c r="J2218" s="619" t="s">
        <v>1156</v>
      </c>
      <c r="K2218" s="618"/>
      <c r="L2218" s="619">
        <v>139</v>
      </c>
      <c r="M2218" s="620">
        <v>129</v>
      </c>
      <c r="N2218" s="619"/>
      <c r="O2218" s="619">
        <v>15</v>
      </c>
      <c r="P2218" s="619" t="s">
        <v>760</v>
      </c>
      <c r="Q2218" s="662"/>
      <c r="R2218" s="618"/>
      <c r="S2218" s="621" t="s">
        <v>3083</v>
      </c>
      <c r="T2218" s="619" t="s">
        <v>1061</v>
      </c>
    </row>
    <row r="2219" spans="1:20">
      <c r="A2219" s="622"/>
      <c r="B2219" s="628"/>
      <c r="C2219" s="623"/>
      <c r="D2219" s="623" t="s">
        <v>857</v>
      </c>
      <c r="E2219" s="627" t="s">
        <v>1063</v>
      </c>
      <c r="F2219" s="626"/>
      <c r="G2219" s="623"/>
      <c r="H2219" s="627"/>
      <c r="I2219" s="618"/>
      <c r="J2219" s="618"/>
      <c r="K2219" s="618"/>
      <c r="L2219" s="618"/>
      <c r="M2219" s="618"/>
      <c r="N2219" s="618"/>
      <c r="O2219" s="618"/>
      <c r="P2219" s="618"/>
      <c r="Q2219" s="662"/>
      <c r="R2219" s="618"/>
      <c r="S2219" s="621"/>
      <c r="T2219" s="618"/>
    </row>
    <row r="2220" spans="1:20">
      <c r="A2220" s="630">
        <v>2102320</v>
      </c>
      <c r="B2220" s="628"/>
      <c r="C2220" s="623"/>
      <c r="D2220" s="623"/>
      <c r="E2220" s="627" t="s">
        <v>1158</v>
      </c>
      <c r="F2220" s="631" t="s">
        <v>3130</v>
      </c>
      <c r="G2220" s="661">
        <v>210</v>
      </c>
      <c r="H2220" s="633">
        <v>2320</v>
      </c>
      <c r="I2220" s="618"/>
      <c r="J2220" s="619" t="s">
        <v>1158</v>
      </c>
      <c r="K2220" s="618"/>
      <c r="L2220" s="619">
        <v>89</v>
      </c>
      <c r="M2220" s="620">
        <v>84</v>
      </c>
      <c r="N2220" s="619"/>
      <c r="O2220" s="619">
        <v>15</v>
      </c>
      <c r="P2220" s="619" t="s">
        <v>760</v>
      </c>
      <c r="Q2220" s="662"/>
      <c r="R2220" s="618"/>
      <c r="S2220" s="621" t="s">
        <v>3083</v>
      </c>
      <c r="T2220" s="619" t="s">
        <v>1064</v>
      </c>
    </row>
    <row r="2221" spans="1:20">
      <c r="A2221" s="630">
        <v>2202320</v>
      </c>
      <c r="B2221" s="628"/>
      <c r="C2221" s="623"/>
      <c r="D2221" s="623"/>
      <c r="E2221" s="627" t="s">
        <v>1160</v>
      </c>
      <c r="F2221" s="631" t="s">
        <v>3131</v>
      </c>
      <c r="G2221" s="661">
        <v>220</v>
      </c>
      <c r="H2221" s="633">
        <v>2320</v>
      </c>
      <c r="I2221" s="618"/>
      <c r="J2221" s="619" t="s">
        <v>1160</v>
      </c>
      <c r="K2221" s="618"/>
      <c r="L2221" s="619">
        <v>90</v>
      </c>
      <c r="M2221" s="620">
        <v>85</v>
      </c>
      <c r="N2221" s="619"/>
      <c r="O2221" s="619">
        <v>15</v>
      </c>
      <c r="P2221" s="619" t="s">
        <v>760</v>
      </c>
      <c r="Q2221" s="662"/>
      <c r="R2221" s="618"/>
      <c r="S2221" s="621" t="s">
        <v>3083</v>
      </c>
      <c r="T2221" s="619" t="s">
        <v>1066</v>
      </c>
    </row>
    <row r="2222" spans="1:20">
      <c r="A2222" s="630">
        <v>2252320</v>
      </c>
      <c r="B2222" s="628"/>
      <c r="C2222" s="623"/>
      <c r="D2222" s="623"/>
      <c r="E2222" s="627" t="s">
        <v>1162</v>
      </c>
      <c r="F2222" s="631" t="s">
        <v>3132</v>
      </c>
      <c r="G2222" s="661">
        <v>225</v>
      </c>
      <c r="H2222" s="633">
        <v>2320</v>
      </c>
      <c r="I2222" s="618"/>
      <c r="J2222" s="619" t="s">
        <v>1162</v>
      </c>
      <c r="K2222" s="618"/>
      <c r="L2222" s="619">
        <v>91</v>
      </c>
      <c r="M2222" s="620">
        <v>86</v>
      </c>
      <c r="N2222" s="619"/>
      <c r="O2222" s="619">
        <v>15</v>
      </c>
      <c r="P2222" s="619" t="s">
        <v>760</v>
      </c>
      <c r="Q2222" s="662"/>
      <c r="R2222" s="618"/>
      <c r="S2222" s="621" t="s">
        <v>3083</v>
      </c>
      <c r="T2222" s="619" t="s">
        <v>23</v>
      </c>
    </row>
    <row r="2223" spans="1:20">
      <c r="A2223" s="622"/>
      <c r="B2223" s="628"/>
      <c r="C2223" s="623"/>
      <c r="D2223" s="623"/>
      <c r="E2223" s="627" t="s">
        <v>1164</v>
      </c>
      <c r="F2223" s="626"/>
      <c r="G2223" s="623"/>
      <c r="H2223" s="627"/>
      <c r="I2223" s="618"/>
      <c r="J2223" s="618"/>
      <c r="K2223" s="618"/>
      <c r="L2223" s="618"/>
      <c r="M2223" s="618"/>
      <c r="N2223" s="618"/>
      <c r="O2223" s="618"/>
      <c r="P2223" s="618"/>
      <c r="Q2223" s="662"/>
      <c r="R2223" s="618"/>
      <c r="S2223" s="621"/>
      <c r="T2223" s="618"/>
    </row>
    <row r="2224" spans="1:20">
      <c r="A2224" s="630">
        <v>2312320</v>
      </c>
      <c r="B2224" s="628"/>
      <c r="C2224" s="623"/>
      <c r="D2224" s="623"/>
      <c r="E2224" s="627" t="s">
        <v>1165</v>
      </c>
      <c r="F2224" s="631" t="s">
        <v>3133</v>
      </c>
      <c r="G2224" s="661">
        <v>231</v>
      </c>
      <c r="H2224" s="633">
        <v>2320</v>
      </c>
      <c r="I2224" s="618"/>
      <c r="J2224" s="619" t="s">
        <v>1165</v>
      </c>
      <c r="K2224" s="618"/>
      <c r="L2224" s="619">
        <v>92</v>
      </c>
      <c r="M2224" s="620">
        <v>87</v>
      </c>
      <c r="N2224" s="619"/>
      <c r="O2224" s="619">
        <v>15</v>
      </c>
      <c r="P2224" s="619" t="s">
        <v>760</v>
      </c>
      <c r="Q2224" s="662"/>
      <c r="R2224" s="618"/>
      <c r="S2224" s="621" t="s">
        <v>3083</v>
      </c>
      <c r="T2224" s="619" t="s">
        <v>1072</v>
      </c>
    </row>
    <row r="2225" spans="1:20">
      <c r="A2225" s="630">
        <v>2332320</v>
      </c>
      <c r="B2225" s="628"/>
      <c r="C2225" s="623"/>
      <c r="D2225" s="623"/>
      <c r="E2225" s="627" t="s">
        <v>1167</v>
      </c>
      <c r="F2225" s="631" t="s">
        <v>3134</v>
      </c>
      <c r="G2225" s="661">
        <v>233</v>
      </c>
      <c r="H2225" s="633">
        <v>2320</v>
      </c>
      <c r="I2225" s="618"/>
      <c r="J2225" s="619" t="s">
        <v>1167</v>
      </c>
      <c r="K2225" s="618"/>
      <c r="L2225" s="619">
        <v>92</v>
      </c>
      <c r="M2225" s="620">
        <v>87</v>
      </c>
      <c r="N2225" s="619"/>
      <c r="O2225" s="619">
        <v>15</v>
      </c>
      <c r="P2225" s="619" t="s">
        <v>760</v>
      </c>
      <c r="Q2225" s="662"/>
      <c r="R2225" s="618"/>
      <c r="S2225" s="621" t="s">
        <v>3083</v>
      </c>
      <c r="T2225" s="619" t="s">
        <v>1169</v>
      </c>
    </row>
    <row r="2226" spans="1:20">
      <c r="A2226" s="630">
        <v>2392320</v>
      </c>
      <c r="B2226" s="628"/>
      <c r="C2226" s="623"/>
      <c r="D2226" s="623"/>
      <c r="E2226" s="627" t="s">
        <v>1170</v>
      </c>
      <c r="F2226" s="631" t="s">
        <v>3135</v>
      </c>
      <c r="G2226" s="661">
        <v>239</v>
      </c>
      <c r="H2226" s="633">
        <v>2320</v>
      </c>
      <c r="I2226" s="618"/>
      <c r="J2226" s="619" t="s">
        <v>1170</v>
      </c>
      <c r="K2226" s="618"/>
      <c r="L2226" s="619">
        <v>92</v>
      </c>
      <c r="M2226" s="620">
        <v>87</v>
      </c>
      <c r="N2226" s="619"/>
      <c r="O2226" s="619">
        <v>15</v>
      </c>
      <c r="P2226" s="619" t="s">
        <v>760</v>
      </c>
      <c r="Q2226" s="662"/>
      <c r="R2226" s="618"/>
      <c r="S2226" s="621" t="s">
        <v>3083</v>
      </c>
      <c r="T2226" s="619" t="s">
        <v>1078</v>
      </c>
    </row>
    <row r="2227" spans="1:20">
      <c r="A2227" s="630">
        <v>2502320</v>
      </c>
      <c r="B2227" s="628"/>
      <c r="C2227" s="623"/>
      <c r="D2227" s="623"/>
      <c r="E2227" s="627" t="s">
        <v>1172</v>
      </c>
      <c r="F2227" s="631" t="s">
        <v>3136</v>
      </c>
      <c r="G2227" s="661">
        <v>250</v>
      </c>
      <c r="H2227" s="633">
        <v>2320</v>
      </c>
      <c r="I2227" s="618"/>
      <c r="J2227" s="619" t="s">
        <v>1172</v>
      </c>
      <c r="K2227" s="618"/>
      <c r="L2227" s="619">
        <v>93</v>
      </c>
      <c r="M2227" s="620">
        <v>88</v>
      </c>
      <c r="N2227" s="619"/>
      <c r="O2227" s="619">
        <v>15</v>
      </c>
      <c r="P2227" s="619" t="s">
        <v>760</v>
      </c>
      <c r="Q2227" s="662"/>
      <c r="R2227" s="618"/>
      <c r="S2227" s="621" t="s">
        <v>3083</v>
      </c>
      <c r="T2227" s="619" t="s">
        <v>1079</v>
      </c>
    </row>
    <row r="2228" spans="1:20">
      <c r="A2228" s="630">
        <v>2602320</v>
      </c>
      <c r="B2228" s="628"/>
      <c r="C2228" s="623"/>
      <c r="D2228" s="623"/>
      <c r="E2228" s="627" t="s">
        <v>1174</v>
      </c>
      <c r="F2228" s="631" t="s">
        <v>3137</v>
      </c>
      <c r="G2228" s="661">
        <v>260</v>
      </c>
      <c r="H2228" s="633">
        <v>2320</v>
      </c>
      <c r="I2228" s="618"/>
      <c r="J2228" s="619" t="s">
        <v>1174</v>
      </c>
      <c r="K2228" s="618"/>
      <c r="L2228" s="619">
        <v>95</v>
      </c>
      <c r="M2228" s="620">
        <v>90</v>
      </c>
      <c r="N2228" s="619"/>
      <c r="O2228" s="619">
        <v>15</v>
      </c>
      <c r="P2228" s="619" t="s">
        <v>760</v>
      </c>
      <c r="Q2228" s="662"/>
      <c r="R2228" s="618"/>
      <c r="S2228" s="621" t="s">
        <v>3083</v>
      </c>
      <c r="T2228" s="619" t="s">
        <v>1081</v>
      </c>
    </row>
    <row r="2229" spans="1:20">
      <c r="A2229" s="630">
        <v>2702320</v>
      </c>
      <c r="B2229" s="628"/>
      <c r="C2229" s="623"/>
      <c r="D2229" s="623"/>
      <c r="E2229" s="627" t="s">
        <v>1176</v>
      </c>
      <c r="F2229" s="631" t="s">
        <v>3138</v>
      </c>
      <c r="G2229" s="661">
        <v>270</v>
      </c>
      <c r="H2229" s="633">
        <v>2320</v>
      </c>
      <c r="I2229" s="618"/>
      <c r="J2229" s="619" t="s">
        <v>1176</v>
      </c>
      <c r="K2229" s="618"/>
      <c r="L2229" s="619">
        <v>94</v>
      </c>
      <c r="M2229" s="620">
        <v>89</v>
      </c>
      <c r="N2229" s="619"/>
      <c r="O2229" s="619">
        <v>15</v>
      </c>
      <c r="P2229" s="619" t="s">
        <v>760</v>
      </c>
      <c r="Q2229" s="662"/>
      <c r="R2229" s="618"/>
      <c r="S2229" s="621" t="s">
        <v>3083</v>
      </c>
      <c r="T2229" s="619" t="s">
        <v>1083</v>
      </c>
    </row>
    <row r="2230" spans="1:20">
      <c r="A2230" s="630">
        <v>2812320</v>
      </c>
      <c r="B2230" s="628"/>
      <c r="C2230" s="623"/>
      <c r="D2230" s="623"/>
      <c r="E2230" s="627" t="s">
        <v>1178</v>
      </c>
      <c r="F2230" s="631" t="s">
        <v>3139</v>
      </c>
      <c r="G2230" s="661">
        <v>281</v>
      </c>
      <c r="H2230" s="633">
        <v>2320</v>
      </c>
      <c r="I2230" s="618"/>
      <c r="J2230" s="619" t="s">
        <v>1178</v>
      </c>
      <c r="K2230" s="618"/>
      <c r="L2230" s="619">
        <v>95</v>
      </c>
      <c r="M2230" s="620">
        <v>90</v>
      </c>
      <c r="N2230" s="619"/>
      <c r="O2230" s="619">
        <v>15</v>
      </c>
      <c r="P2230" s="619" t="s">
        <v>760</v>
      </c>
      <c r="Q2230" s="662"/>
      <c r="R2230" s="618"/>
      <c r="S2230" s="621" t="s">
        <v>3083</v>
      </c>
      <c r="T2230" s="619" t="s">
        <v>1085</v>
      </c>
    </row>
    <row r="2231" spans="1:20">
      <c r="A2231" s="630">
        <v>2822320</v>
      </c>
      <c r="B2231" s="628"/>
      <c r="C2231" s="623"/>
      <c r="D2231" s="623"/>
      <c r="E2231" s="627" t="s">
        <v>1180</v>
      </c>
      <c r="F2231" s="631" t="s">
        <v>3140</v>
      </c>
      <c r="G2231" s="661">
        <v>282</v>
      </c>
      <c r="H2231" s="633">
        <v>2320</v>
      </c>
      <c r="I2231" s="618"/>
      <c r="J2231" s="619" t="s">
        <v>1180</v>
      </c>
      <c r="K2231" s="618"/>
      <c r="L2231" s="619">
        <v>95</v>
      </c>
      <c r="M2231" s="620">
        <v>90</v>
      </c>
      <c r="N2231" s="619"/>
      <c r="O2231" s="619">
        <v>15</v>
      </c>
      <c r="P2231" s="619" t="s">
        <v>760</v>
      </c>
      <c r="Q2231" s="662"/>
      <c r="R2231" s="618"/>
      <c r="S2231" s="621" t="s">
        <v>3083</v>
      </c>
      <c r="T2231" s="619" t="s">
        <v>1087</v>
      </c>
    </row>
    <row r="2232" spans="1:20" ht="16" thickBot="1">
      <c r="A2232" s="630">
        <v>2902320</v>
      </c>
      <c r="B2232" s="667"/>
      <c r="C2232" s="623"/>
      <c r="D2232" s="623"/>
      <c r="E2232" s="627" t="s">
        <v>1182</v>
      </c>
      <c r="F2232" s="631" t="s">
        <v>3141</v>
      </c>
      <c r="G2232" s="661">
        <v>290</v>
      </c>
      <c r="H2232" s="633">
        <v>2320</v>
      </c>
      <c r="I2232" s="618"/>
      <c r="J2232" s="619" t="s">
        <v>1182</v>
      </c>
      <c r="K2232" s="618"/>
      <c r="L2232" s="619">
        <v>95</v>
      </c>
      <c r="M2232" s="620">
        <v>90</v>
      </c>
      <c r="N2232" s="619"/>
      <c r="O2232" s="619">
        <v>15</v>
      </c>
      <c r="P2232" s="619" t="s">
        <v>760</v>
      </c>
      <c r="Q2232" s="662"/>
      <c r="R2232" s="618"/>
      <c r="S2232" s="621" t="s">
        <v>3083</v>
      </c>
      <c r="T2232" s="619" t="s">
        <v>1090</v>
      </c>
    </row>
    <row r="2233" spans="1:20" ht="16.5" thickTop="1" thickBot="1">
      <c r="A2233" s="622"/>
      <c r="B2233" s="613"/>
      <c r="C2233" s="772" t="s">
        <v>3142</v>
      </c>
      <c r="D2233" s="773"/>
      <c r="E2233" s="782"/>
      <c r="F2233" s="656" t="s">
        <v>611</v>
      </c>
      <c r="G2233" s="657"/>
      <c r="H2233" s="658"/>
      <c r="I2233" s="618"/>
      <c r="J2233" s="618"/>
      <c r="K2233" s="618"/>
      <c r="L2233" s="618"/>
      <c r="M2233" s="618"/>
      <c r="N2233" s="618"/>
      <c r="O2233" s="618"/>
      <c r="P2233" s="618"/>
      <c r="Q2233" s="662"/>
      <c r="R2233" s="618"/>
      <c r="S2233" s="621"/>
      <c r="T2233" s="618"/>
    </row>
    <row r="2234" spans="1:20" ht="16" thickTop="1">
      <c r="A2234" s="622"/>
      <c r="B2234" s="623"/>
      <c r="C2234" s="623"/>
      <c r="D2234" s="623"/>
      <c r="E2234" s="627"/>
      <c r="F2234" s="626"/>
      <c r="G2234" s="623"/>
      <c r="H2234" s="627"/>
      <c r="I2234" s="618"/>
      <c r="J2234" s="618"/>
      <c r="K2234" s="618"/>
      <c r="L2234" s="618"/>
      <c r="M2234" s="618"/>
      <c r="N2234" s="618"/>
      <c r="O2234" s="618"/>
      <c r="P2234" s="618"/>
      <c r="Q2234" s="662"/>
      <c r="R2234" s="618"/>
      <c r="S2234" s="621"/>
      <c r="T2234" s="618"/>
    </row>
    <row r="2235" spans="1:20">
      <c r="A2235" s="622"/>
      <c r="B2235" s="628" t="s">
        <v>1287</v>
      </c>
      <c r="C2235" s="790" t="s">
        <v>682</v>
      </c>
      <c r="D2235" s="771"/>
      <c r="E2235" s="775"/>
      <c r="F2235" s="626"/>
      <c r="G2235" s="623"/>
      <c r="H2235" s="627"/>
      <c r="I2235" s="618"/>
      <c r="J2235" s="618"/>
      <c r="K2235" s="618"/>
      <c r="L2235" s="618"/>
      <c r="M2235" s="618"/>
      <c r="N2235" s="618"/>
      <c r="O2235" s="618"/>
      <c r="P2235" s="618"/>
      <c r="Q2235" s="662"/>
      <c r="R2235" s="618"/>
      <c r="S2235" s="621"/>
      <c r="T2235" s="618"/>
    </row>
    <row r="2236" spans="1:20">
      <c r="A2236" s="622"/>
      <c r="B2236" s="628"/>
      <c r="C2236" s="629">
        <v>62</v>
      </c>
      <c r="D2236" s="774" t="s">
        <v>244</v>
      </c>
      <c r="E2236" s="775"/>
      <c r="F2236" s="626"/>
      <c r="G2236" s="623"/>
      <c r="H2236" s="627"/>
      <c r="I2236" s="618"/>
      <c r="J2236" s="618"/>
      <c r="K2236" s="618"/>
      <c r="L2236" s="618"/>
      <c r="M2236" s="618"/>
      <c r="N2236" s="618"/>
      <c r="O2236" s="618"/>
      <c r="P2236" s="618"/>
      <c r="Q2236" s="662"/>
      <c r="R2236" s="618"/>
      <c r="S2236" s="621"/>
      <c r="T2236" s="618"/>
    </row>
    <row r="2237" spans="1:20">
      <c r="A2237" s="630">
        <v>1112410</v>
      </c>
      <c r="B2237" s="628"/>
      <c r="C2237" s="623"/>
      <c r="D2237" s="623" t="s">
        <v>756</v>
      </c>
      <c r="E2237" s="627" t="s">
        <v>3143</v>
      </c>
      <c r="F2237" s="631" t="s">
        <v>3144</v>
      </c>
      <c r="G2237" s="661">
        <v>111</v>
      </c>
      <c r="H2237" s="633">
        <v>2410</v>
      </c>
      <c r="I2237" s="618"/>
      <c r="J2237" s="619" t="s">
        <v>3143</v>
      </c>
      <c r="K2237" s="618"/>
      <c r="L2237" s="619">
        <v>79</v>
      </c>
      <c r="M2237" s="620">
        <v>74</v>
      </c>
      <c r="N2237" s="619"/>
      <c r="O2237" s="619">
        <v>16</v>
      </c>
      <c r="P2237" s="619" t="s">
        <v>760</v>
      </c>
      <c r="Q2237" s="662" t="s">
        <v>1002</v>
      </c>
      <c r="R2237" s="618"/>
      <c r="S2237" s="621" t="s">
        <v>682</v>
      </c>
      <c r="T2237" s="619" t="s">
        <v>3143</v>
      </c>
    </row>
    <row r="2238" spans="1:20">
      <c r="A2238" s="630">
        <v>1112420</v>
      </c>
      <c r="B2238" s="628"/>
      <c r="C2238" s="623"/>
      <c r="D2238" s="623" t="s">
        <v>775</v>
      </c>
      <c r="E2238" s="627" t="s">
        <v>3145</v>
      </c>
      <c r="F2238" s="631" t="s">
        <v>3146</v>
      </c>
      <c r="G2238" s="661">
        <v>111</v>
      </c>
      <c r="H2238" s="633">
        <v>2420</v>
      </c>
      <c r="I2238" s="618"/>
      <c r="J2238" s="619" t="s">
        <v>3145</v>
      </c>
      <c r="K2238" s="618"/>
      <c r="L2238" s="619">
        <v>81</v>
      </c>
      <c r="M2238" s="620">
        <v>76</v>
      </c>
      <c r="N2238" s="619"/>
      <c r="O2238" s="619">
        <v>16</v>
      </c>
      <c r="P2238" s="619" t="s">
        <v>760</v>
      </c>
      <c r="Q2238" s="662" t="s">
        <v>1002</v>
      </c>
      <c r="R2238" s="618"/>
      <c r="S2238" s="621" t="s">
        <v>682</v>
      </c>
      <c r="T2238" s="619" t="s">
        <v>3145</v>
      </c>
    </row>
    <row r="2239" spans="1:20">
      <c r="A2239" s="630">
        <v>1112430</v>
      </c>
      <c r="B2239" s="628"/>
      <c r="C2239" s="623"/>
      <c r="D2239" s="623" t="s">
        <v>799</v>
      </c>
      <c r="E2239" s="627" t="s">
        <v>3147</v>
      </c>
      <c r="F2239" s="631" t="s">
        <v>3148</v>
      </c>
      <c r="G2239" s="661">
        <v>111</v>
      </c>
      <c r="H2239" s="633">
        <v>2430</v>
      </c>
      <c r="I2239" s="618"/>
      <c r="J2239" s="619" t="s">
        <v>3147</v>
      </c>
      <c r="K2239" s="618"/>
      <c r="L2239" s="619">
        <v>79</v>
      </c>
      <c r="M2239" s="620">
        <v>74</v>
      </c>
      <c r="N2239" s="619"/>
      <c r="O2239" s="619">
        <v>16</v>
      </c>
      <c r="P2239" s="619" t="s">
        <v>760</v>
      </c>
      <c r="Q2239" s="662" t="s">
        <v>1002</v>
      </c>
      <c r="R2239" s="618"/>
      <c r="S2239" s="621" t="s">
        <v>682</v>
      </c>
      <c r="T2239" s="619" t="s">
        <v>3147</v>
      </c>
    </row>
    <row r="2240" spans="1:20">
      <c r="A2240" s="630">
        <v>1112400</v>
      </c>
      <c r="B2240" s="628"/>
      <c r="C2240" s="623"/>
      <c r="D2240" s="623" t="s">
        <v>803</v>
      </c>
      <c r="E2240" s="627" t="s">
        <v>3149</v>
      </c>
      <c r="F2240" s="631" t="s">
        <v>3150</v>
      </c>
      <c r="G2240" s="661">
        <v>111</v>
      </c>
      <c r="H2240" s="633">
        <v>2400</v>
      </c>
      <c r="I2240" s="618"/>
      <c r="J2240" s="619" t="s">
        <v>3149</v>
      </c>
      <c r="K2240" s="618"/>
      <c r="L2240" s="619">
        <v>81</v>
      </c>
      <c r="M2240" s="620">
        <v>76</v>
      </c>
      <c r="N2240" s="619"/>
      <c r="O2240" s="619">
        <v>16</v>
      </c>
      <c r="P2240" s="619" t="s">
        <v>760</v>
      </c>
      <c r="Q2240" s="662" t="s">
        <v>1002</v>
      </c>
      <c r="R2240" s="618"/>
      <c r="S2240" s="621" t="s">
        <v>682</v>
      </c>
      <c r="T2240" s="619" t="s">
        <v>3149</v>
      </c>
    </row>
    <row r="2241" spans="1:20">
      <c r="A2241" s="630">
        <v>1142400</v>
      </c>
      <c r="B2241" s="628"/>
      <c r="C2241" s="623"/>
      <c r="D2241" s="623" t="s">
        <v>848</v>
      </c>
      <c r="E2241" s="627" t="s">
        <v>1853</v>
      </c>
      <c r="F2241" s="631" t="s">
        <v>3151</v>
      </c>
      <c r="G2241" s="661">
        <v>114</v>
      </c>
      <c r="H2241" s="633">
        <v>2400</v>
      </c>
      <c r="I2241" s="618"/>
      <c r="J2241" s="619" t="s">
        <v>1853</v>
      </c>
      <c r="K2241" s="618"/>
      <c r="L2241" s="619">
        <v>84</v>
      </c>
      <c r="M2241" s="620">
        <v>79</v>
      </c>
      <c r="N2241" s="619"/>
      <c r="O2241" s="619">
        <v>16</v>
      </c>
      <c r="P2241" s="619" t="s">
        <v>760</v>
      </c>
      <c r="Q2241" s="662" t="s">
        <v>1002</v>
      </c>
      <c r="R2241" s="618"/>
      <c r="S2241" s="621" t="s">
        <v>682</v>
      </c>
      <c r="T2241" s="619" t="s">
        <v>1853</v>
      </c>
    </row>
    <row r="2242" spans="1:20">
      <c r="A2242" s="630">
        <v>1102400</v>
      </c>
      <c r="B2242" s="628"/>
      <c r="C2242" s="623"/>
      <c r="D2242" s="623" t="s">
        <v>851</v>
      </c>
      <c r="E2242" s="627" t="s">
        <v>3152</v>
      </c>
      <c r="F2242" s="631" t="s">
        <v>3153</v>
      </c>
      <c r="G2242" s="661">
        <v>110</v>
      </c>
      <c r="H2242" s="633">
        <v>2400</v>
      </c>
      <c r="I2242" s="618"/>
      <c r="J2242" s="619" t="s">
        <v>3152</v>
      </c>
      <c r="K2242" s="618"/>
      <c r="L2242" s="619">
        <v>86</v>
      </c>
      <c r="M2242" s="620">
        <v>81</v>
      </c>
      <c r="N2242" s="619"/>
      <c r="O2242" s="619">
        <v>16</v>
      </c>
      <c r="P2242" s="619" t="s">
        <v>760</v>
      </c>
      <c r="Q2242" s="662" t="s">
        <v>1002</v>
      </c>
      <c r="R2242" s="618"/>
      <c r="S2242" s="621" t="s">
        <v>682</v>
      </c>
      <c r="T2242" s="619" t="s">
        <v>3152</v>
      </c>
    </row>
    <row r="2243" spans="1:20">
      <c r="A2243" s="630">
        <v>1202400</v>
      </c>
      <c r="B2243" s="628"/>
      <c r="C2243" s="623"/>
      <c r="D2243" s="623" t="s">
        <v>854</v>
      </c>
      <c r="E2243" s="627" t="s">
        <v>2177</v>
      </c>
      <c r="F2243" s="631" t="s">
        <v>3154</v>
      </c>
      <c r="G2243" s="661">
        <v>120</v>
      </c>
      <c r="H2243" s="633">
        <v>2400</v>
      </c>
      <c r="I2243" s="618"/>
      <c r="J2243" s="619" t="s">
        <v>2177</v>
      </c>
      <c r="K2243" s="618"/>
      <c r="L2243" s="619">
        <v>86</v>
      </c>
      <c r="M2243" s="620">
        <v>81</v>
      </c>
      <c r="N2243" s="619"/>
      <c r="O2243" s="619">
        <v>16</v>
      </c>
      <c r="P2243" s="619" t="s">
        <v>760</v>
      </c>
      <c r="Q2243" s="662" t="s">
        <v>1002</v>
      </c>
      <c r="R2243" s="618"/>
      <c r="S2243" s="621" t="s">
        <v>682</v>
      </c>
      <c r="T2243" s="619" t="s">
        <v>2177</v>
      </c>
    </row>
    <row r="2244" spans="1:20">
      <c r="A2244" s="630">
        <v>1002400</v>
      </c>
      <c r="B2244" s="628"/>
      <c r="C2244" s="623"/>
      <c r="D2244" s="623" t="s">
        <v>857</v>
      </c>
      <c r="E2244" s="627" t="s">
        <v>3155</v>
      </c>
      <c r="F2244" s="631" t="s">
        <v>3156</v>
      </c>
      <c r="G2244" s="661">
        <v>100</v>
      </c>
      <c r="H2244" s="633">
        <v>2400</v>
      </c>
      <c r="I2244" s="618"/>
      <c r="J2244" s="619" t="s">
        <v>3155</v>
      </c>
      <c r="K2244" s="618"/>
      <c r="L2244" s="619">
        <v>86</v>
      </c>
      <c r="M2244" s="620">
        <v>81</v>
      </c>
      <c r="N2244" s="619"/>
      <c r="O2244" s="619">
        <v>16</v>
      </c>
      <c r="P2244" s="619" t="s">
        <v>760</v>
      </c>
      <c r="Q2244" s="662" t="s">
        <v>1002</v>
      </c>
      <c r="R2244" s="618"/>
      <c r="S2244" s="621" t="s">
        <v>682</v>
      </c>
      <c r="T2244" s="619" t="s">
        <v>3155</v>
      </c>
    </row>
    <row r="2245" spans="1:20">
      <c r="A2245" s="630">
        <v>1402400</v>
      </c>
      <c r="B2245" s="628"/>
      <c r="C2245" s="623"/>
      <c r="D2245" s="623" t="s">
        <v>860</v>
      </c>
      <c r="E2245" s="627" t="s">
        <v>1017</v>
      </c>
      <c r="F2245" s="631" t="s">
        <v>3157</v>
      </c>
      <c r="G2245" s="661">
        <v>140</v>
      </c>
      <c r="H2245" s="633">
        <v>2400</v>
      </c>
      <c r="I2245" s="618"/>
      <c r="J2245" s="619" t="s">
        <v>1017</v>
      </c>
      <c r="K2245" s="618"/>
      <c r="L2245" s="619">
        <v>86</v>
      </c>
      <c r="M2245" s="620">
        <v>81</v>
      </c>
      <c r="N2245" s="619"/>
      <c r="O2245" s="619">
        <v>16</v>
      </c>
      <c r="P2245" s="619" t="s">
        <v>760</v>
      </c>
      <c r="Q2245" s="662" t="s">
        <v>1002</v>
      </c>
      <c r="R2245" s="618"/>
      <c r="S2245" s="621" t="s">
        <v>682</v>
      </c>
      <c r="T2245" s="619" t="s">
        <v>1017</v>
      </c>
    </row>
    <row r="2246" spans="1:20">
      <c r="A2246" s="636">
        <v>3002400</v>
      </c>
      <c r="B2246" s="628"/>
      <c r="C2246" s="629">
        <v>63</v>
      </c>
      <c r="D2246" s="774" t="s">
        <v>1112</v>
      </c>
      <c r="E2246" s="775"/>
      <c r="F2246" s="631" t="s">
        <v>3158</v>
      </c>
      <c r="G2246" s="661">
        <v>300</v>
      </c>
      <c r="H2246" s="633">
        <v>2400</v>
      </c>
      <c r="I2246" s="618"/>
      <c r="J2246" s="619" t="s">
        <v>1112</v>
      </c>
      <c r="K2246" s="618"/>
      <c r="L2246" s="619">
        <v>101</v>
      </c>
      <c r="M2246" s="620">
        <v>96</v>
      </c>
      <c r="N2246" s="619"/>
      <c r="O2246" s="619">
        <v>16</v>
      </c>
      <c r="P2246" s="619" t="s">
        <v>760</v>
      </c>
      <c r="Q2246" s="662"/>
      <c r="R2246" s="618"/>
      <c r="S2246" s="621" t="s">
        <v>682</v>
      </c>
      <c r="T2246" s="619" t="s">
        <v>1112</v>
      </c>
    </row>
    <row r="2247" spans="1:20">
      <c r="A2247" s="622"/>
      <c r="B2247" s="628"/>
      <c r="C2247" s="629">
        <v>64</v>
      </c>
      <c r="D2247" s="774" t="s">
        <v>250</v>
      </c>
      <c r="E2247" s="775"/>
      <c r="F2247" s="626"/>
      <c r="G2247" s="623"/>
      <c r="H2247" s="627"/>
      <c r="I2247" s="618"/>
      <c r="J2247" s="618"/>
      <c r="K2247" s="618"/>
      <c r="L2247" s="618"/>
      <c r="M2247" s="618"/>
      <c r="N2247" s="618"/>
      <c r="O2247" s="618"/>
      <c r="P2247" s="618"/>
      <c r="Q2247" s="662"/>
      <c r="R2247" s="618"/>
      <c r="S2247" s="621"/>
      <c r="T2247" s="618"/>
    </row>
    <row r="2248" spans="1:20">
      <c r="A2248" s="630">
        <v>4302400</v>
      </c>
      <c r="B2248" s="628"/>
      <c r="C2248" s="623"/>
      <c r="D2248" s="623" t="s">
        <v>756</v>
      </c>
      <c r="E2248" s="627" t="s">
        <v>1021</v>
      </c>
      <c r="F2248" s="634" t="s">
        <v>3159</v>
      </c>
      <c r="G2248" s="629">
        <v>430</v>
      </c>
      <c r="H2248" s="633">
        <v>2400</v>
      </c>
      <c r="I2248" s="618"/>
      <c r="J2248" s="619" t="s">
        <v>1021</v>
      </c>
      <c r="K2248" s="618"/>
      <c r="L2248" s="619">
        <v>107</v>
      </c>
      <c r="M2248" s="620">
        <v>102</v>
      </c>
      <c r="N2248" s="619"/>
      <c r="O2248" s="619">
        <v>16</v>
      </c>
      <c r="P2248" s="619" t="s">
        <v>760</v>
      </c>
      <c r="Q2248" s="662"/>
      <c r="R2248" s="618"/>
      <c r="S2248" s="621" t="s">
        <v>682</v>
      </c>
      <c r="T2248" s="619" t="s">
        <v>1021</v>
      </c>
    </row>
    <row r="2249" spans="1:20">
      <c r="A2249" s="630">
        <v>4422400</v>
      </c>
      <c r="B2249" s="628"/>
      <c r="C2249" s="623"/>
      <c r="D2249" s="623" t="s">
        <v>775</v>
      </c>
      <c r="E2249" s="627" t="s">
        <v>1383</v>
      </c>
      <c r="F2249" s="664" t="s">
        <v>3160</v>
      </c>
      <c r="G2249" s="665">
        <v>442</v>
      </c>
      <c r="H2249" s="633">
        <v>2400</v>
      </c>
      <c r="I2249" s="618"/>
      <c r="J2249" s="619" t="s">
        <v>1383</v>
      </c>
      <c r="K2249" s="618"/>
      <c r="L2249" s="619">
        <v>106</v>
      </c>
      <c r="M2249" s="620">
        <v>101</v>
      </c>
      <c r="N2249" s="619"/>
      <c r="O2249" s="619">
        <v>16</v>
      </c>
      <c r="P2249" s="619" t="s">
        <v>760</v>
      </c>
      <c r="Q2249" s="662"/>
      <c r="R2249" s="618"/>
      <c r="S2249" s="621" t="s">
        <v>682</v>
      </c>
      <c r="T2249" s="619" t="s">
        <v>1383</v>
      </c>
    </row>
    <row r="2250" spans="1:20">
      <c r="A2250" s="630">
        <v>4002400</v>
      </c>
      <c r="B2250" s="628"/>
      <c r="C2250" s="623"/>
      <c r="D2250" s="623" t="s">
        <v>799</v>
      </c>
      <c r="E2250" s="627" t="s">
        <v>1025</v>
      </c>
      <c r="F2250" s="631" t="s">
        <v>3161</v>
      </c>
      <c r="G2250" s="661">
        <v>400</v>
      </c>
      <c r="H2250" s="633">
        <v>2400</v>
      </c>
      <c r="I2250" s="618"/>
      <c r="J2250" s="619" t="s">
        <v>1025</v>
      </c>
      <c r="K2250" s="618"/>
      <c r="L2250" s="619">
        <v>108</v>
      </c>
      <c r="M2250" s="620">
        <v>103</v>
      </c>
      <c r="N2250" s="619"/>
      <c r="O2250" s="619">
        <v>16</v>
      </c>
      <c r="P2250" s="619" t="s">
        <v>760</v>
      </c>
      <c r="Q2250" s="662"/>
      <c r="R2250" s="618"/>
      <c r="S2250" s="621" t="s">
        <v>682</v>
      </c>
      <c r="T2250" s="619" t="s">
        <v>1025</v>
      </c>
    </row>
    <row r="2251" spans="1:20">
      <c r="A2251" s="622"/>
      <c r="B2251" s="628"/>
      <c r="C2251" s="629">
        <v>65</v>
      </c>
      <c r="D2251" s="774" t="s">
        <v>252</v>
      </c>
      <c r="E2251" s="775"/>
      <c r="F2251" s="626"/>
      <c r="G2251" s="623"/>
      <c r="H2251" s="627"/>
      <c r="I2251" s="618"/>
      <c r="J2251" s="618"/>
      <c r="K2251" s="618"/>
      <c r="L2251" s="618"/>
      <c r="M2251" s="618"/>
      <c r="N2251" s="618"/>
      <c r="O2251" s="618"/>
      <c r="P2251" s="618"/>
      <c r="Q2251" s="662"/>
      <c r="R2251" s="618"/>
      <c r="S2251" s="621"/>
      <c r="T2251" s="618"/>
    </row>
    <row r="2252" spans="1:20">
      <c r="A2252" s="630">
        <v>5302400</v>
      </c>
      <c r="B2252" s="628"/>
      <c r="C2252" s="623"/>
      <c r="D2252" s="623" t="s">
        <v>756</v>
      </c>
      <c r="E2252" s="627" t="s">
        <v>3162</v>
      </c>
      <c r="F2252" s="631" t="s">
        <v>3163</v>
      </c>
      <c r="G2252" s="661">
        <v>530</v>
      </c>
      <c r="H2252" s="633">
        <v>2400</v>
      </c>
      <c r="I2252" s="618"/>
      <c r="J2252" s="619" t="s">
        <v>3162</v>
      </c>
      <c r="K2252" s="618"/>
      <c r="L2252" s="619">
        <v>119</v>
      </c>
      <c r="M2252" s="620">
        <v>110</v>
      </c>
      <c r="N2252" s="619"/>
      <c r="O2252" s="619">
        <v>16</v>
      </c>
      <c r="P2252" s="619" t="s">
        <v>760</v>
      </c>
      <c r="Q2252" s="662"/>
      <c r="R2252" s="618"/>
      <c r="S2252" s="621" t="s">
        <v>682</v>
      </c>
      <c r="T2252" s="619" t="s">
        <v>3019</v>
      </c>
    </row>
    <row r="2253" spans="1:20">
      <c r="A2253" s="630">
        <v>5822400</v>
      </c>
      <c r="B2253" s="628"/>
      <c r="C2253" s="623"/>
      <c r="D2253" s="623" t="s">
        <v>775</v>
      </c>
      <c r="E2253" s="627" t="s">
        <v>1037</v>
      </c>
      <c r="F2253" s="631" t="s">
        <v>3164</v>
      </c>
      <c r="G2253" s="661">
        <v>582</v>
      </c>
      <c r="H2253" s="633">
        <v>2400</v>
      </c>
      <c r="I2253" s="618"/>
      <c r="J2253" s="619" t="s">
        <v>1037</v>
      </c>
      <c r="K2253" s="618"/>
      <c r="L2253" s="619">
        <v>118</v>
      </c>
      <c r="M2253" s="620">
        <v>109</v>
      </c>
      <c r="N2253" s="619"/>
      <c r="O2253" s="619">
        <v>16</v>
      </c>
      <c r="P2253" s="619" t="s">
        <v>760</v>
      </c>
      <c r="Q2253" s="662"/>
      <c r="R2253" s="618"/>
      <c r="S2253" s="621" t="s">
        <v>682</v>
      </c>
      <c r="T2253" s="619" t="s">
        <v>1037</v>
      </c>
    </row>
    <row r="2254" spans="1:20">
      <c r="A2254" s="630">
        <v>5002400</v>
      </c>
      <c r="B2254" s="628"/>
      <c r="C2254" s="623"/>
      <c r="D2254" s="623" t="s">
        <v>799</v>
      </c>
      <c r="E2254" s="627" t="s">
        <v>252</v>
      </c>
      <c r="F2254" s="631" t="s">
        <v>3165</v>
      </c>
      <c r="G2254" s="661">
        <v>500</v>
      </c>
      <c r="H2254" s="633">
        <v>2400</v>
      </c>
      <c r="I2254" s="618"/>
      <c r="J2254" s="619" t="s">
        <v>252</v>
      </c>
      <c r="K2254" s="618"/>
      <c r="L2254" s="619">
        <v>119</v>
      </c>
      <c r="M2254" s="620">
        <v>110</v>
      </c>
      <c r="N2254" s="619"/>
      <c r="O2254" s="619">
        <v>16</v>
      </c>
      <c r="P2254" s="619" t="s">
        <v>760</v>
      </c>
      <c r="Q2254" s="662"/>
      <c r="R2254" s="618"/>
      <c r="S2254" s="621" t="s">
        <v>682</v>
      </c>
      <c r="T2254" s="619" t="s">
        <v>252</v>
      </c>
    </row>
    <row r="2255" spans="1:20">
      <c r="A2255" s="622"/>
      <c r="B2255" s="628"/>
      <c r="C2255" s="629">
        <v>66</v>
      </c>
      <c r="D2255" s="774" t="s">
        <v>254</v>
      </c>
      <c r="E2255" s="775"/>
      <c r="F2255" s="626"/>
      <c r="G2255" s="623"/>
      <c r="H2255" s="627"/>
      <c r="I2255" s="618"/>
      <c r="J2255" s="618"/>
      <c r="K2255" s="618"/>
      <c r="L2255" s="618"/>
      <c r="M2255" s="618"/>
      <c r="N2255" s="618"/>
      <c r="O2255" s="618"/>
      <c r="P2255" s="618"/>
      <c r="Q2255" s="662"/>
      <c r="R2255" s="618"/>
      <c r="S2255" s="621"/>
      <c r="T2255" s="618"/>
    </row>
    <row r="2256" spans="1:20">
      <c r="A2256" s="630">
        <v>6152400</v>
      </c>
      <c r="B2256" s="628"/>
      <c r="C2256" s="623"/>
      <c r="D2256" s="623" t="s">
        <v>756</v>
      </c>
      <c r="E2256" s="627" t="s">
        <v>1041</v>
      </c>
      <c r="F2256" s="631" t="s">
        <v>3166</v>
      </c>
      <c r="G2256" s="661">
        <v>615</v>
      </c>
      <c r="H2256" s="633">
        <v>2400</v>
      </c>
      <c r="I2256" s="618"/>
      <c r="J2256" s="619" t="s">
        <v>1041</v>
      </c>
      <c r="K2256" s="618"/>
      <c r="L2256" s="619">
        <v>126</v>
      </c>
      <c r="M2256" s="620">
        <v>117</v>
      </c>
      <c r="N2256" s="619"/>
      <c r="O2256" s="619">
        <v>16</v>
      </c>
      <c r="P2256" s="619" t="s">
        <v>760</v>
      </c>
      <c r="Q2256" s="662" t="s">
        <v>1043</v>
      </c>
      <c r="R2256" s="618"/>
      <c r="S2256" s="621" t="s">
        <v>682</v>
      </c>
      <c r="T2256" s="619" t="s">
        <v>1041</v>
      </c>
    </row>
    <row r="2257" spans="1:20">
      <c r="A2257" s="630">
        <v>6102400</v>
      </c>
      <c r="B2257" s="628"/>
      <c r="C2257" s="623"/>
      <c r="D2257" s="623" t="s">
        <v>775</v>
      </c>
      <c r="E2257" s="627" t="s">
        <v>39</v>
      </c>
      <c r="F2257" s="631" t="s">
        <v>3167</v>
      </c>
      <c r="G2257" s="661">
        <v>610</v>
      </c>
      <c r="H2257" s="633">
        <v>2400</v>
      </c>
      <c r="I2257" s="618"/>
      <c r="J2257" s="619" t="s">
        <v>39</v>
      </c>
      <c r="K2257" s="618"/>
      <c r="L2257" s="619">
        <v>122</v>
      </c>
      <c r="M2257" s="620">
        <v>113</v>
      </c>
      <c r="N2257" s="619"/>
      <c r="O2257" s="619">
        <v>16</v>
      </c>
      <c r="P2257" s="619" t="s">
        <v>760</v>
      </c>
      <c r="Q2257" s="662" t="s">
        <v>1043</v>
      </c>
      <c r="R2257" s="618"/>
      <c r="S2257" s="621" t="s">
        <v>682</v>
      </c>
      <c r="T2257" s="619" t="s">
        <v>39</v>
      </c>
    </row>
    <row r="2258" spans="1:20">
      <c r="A2258" s="630">
        <v>6002400</v>
      </c>
      <c r="B2258" s="628"/>
      <c r="C2258" s="623"/>
      <c r="D2258" s="623" t="s">
        <v>799</v>
      </c>
      <c r="E2258" s="627" t="s">
        <v>1048</v>
      </c>
      <c r="F2258" s="631" t="s">
        <v>3168</v>
      </c>
      <c r="G2258" s="661">
        <v>600</v>
      </c>
      <c r="H2258" s="633">
        <v>2400</v>
      </c>
      <c r="I2258" s="618"/>
      <c r="J2258" s="619" t="s">
        <v>1048</v>
      </c>
      <c r="K2258" s="618"/>
      <c r="L2258" s="619">
        <v>126</v>
      </c>
      <c r="M2258" s="620">
        <v>117</v>
      </c>
      <c r="N2258" s="619"/>
      <c r="O2258" s="619">
        <v>16</v>
      </c>
      <c r="P2258" s="619" t="s">
        <v>760</v>
      </c>
      <c r="Q2258" s="662"/>
      <c r="R2258" s="618"/>
      <c r="S2258" s="621" t="s">
        <v>682</v>
      </c>
      <c r="T2258" s="619" t="s">
        <v>1048</v>
      </c>
    </row>
    <row r="2259" spans="1:20">
      <c r="A2259" s="622"/>
      <c r="B2259" s="628"/>
      <c r="C2259" s="629">
        <v>67</v>
      </c>
      <c r="D2259" s="774" t="s">
        <v>1050</v>
      </c>
      <c r="E2259" s="775"/>
      <c r="F2259" s="626"/>
      <c r="G2259" s="623"/>
      <c r="H2259" s="627"/>
      <c r="I2259" s="618"/>
      <c r="J2259" s="618"/>
      <c r="K2259" s="618"/>
      <c r="L2259" s="618"/>
      <c r="M2259" s="618"/>
      <c r="N2259" s="618"/>
      <c r="O2259" s="618"/>
      <c r="P2259" s="618"/>
      <c r="Q2259" s="662"/>
      <c r="R2259" s="618"/>
      <c r="S2259" s="621"/>
      <c r="T2259" s="618"/>
    </row>
    <row r="2260" spans="1:20">
      <c r="A2260" s="630">
        <v>7342400</v>
      </c>
      <c r="B2260" s="628"/>
      <c r="C2260" s="623"/>
      <c r="D2260" s="623" t="s">
        <v>756</v>
      </c>
      <c r="E2260" s="627" t="s">
        <v>1051</v>
      </c>
      <c r="F2260" s="631" t="s">
        <v>3169</v>
      </c>
      <c r="G2260" s="661">
        <v>734</v>
      </c>
      <c r="H2260" s="633">
        <v>2400</v>
      </c>
      <c r="I2260" s="618"/>
      <c r="J2260" s="619" t="s">
        <v>1051</v>
      </c>
      <c r="K2260" s="618"/>
      <c r="L2260" s="619">
        <v>131</v>
      </c>
      <c r="M2260" s="620">
        <v>122</v>
      </c>
      <c r="N2260" s="619"/>
      <c r="O2260" s="619">
        <v>16</v>
      </c>
      <c r="P2260" s="619" t="s">
        <v>760</v>
      </c>
      <c r="Q2260" s="662"/>
      <c r="R2260" s="618"/>
      <c r="S2260" s="621" t="s">
        <v>682</v>
      </c>
      <c r="T2260" s="619" t="s">
        <v>1051</v>
      </c>
    </row>
    <row r="2261" spans="1:20">
      <c r="A2261" s="630">
        <v>7352400</v>
      </c>
      <c r="B2261" s="628"/>
      <c r="C2261" s="623"/>
      <c r="D2261" s="623" t="s">
        <v>775</v>
      </c>
      <c r="E2261" s="627" t="s">
        <v>1053</v>
      </c>
      <c r="F2261" s="631" t="s">
        <v>3170</v>
      </c>
      <c r="G2261" s="661">
        <v>735</v>
      </c>
      <c r="H2261" s="633">
        <v>2400</v>
      </c>
      <c r="I2261" s="618"/>
      <c r="J2261" s="619" t="s">
        <v>1053</v>
      </c>
      <c r="K2261" s="618"/>
      <c r="L2261" s="619">
        <v>131</v>
      </c>
      <c r="M2261" s="620">
        <v>122</v>
      </c>
      <c r="N2261" s="619"/>
      <c r="O2261" s="619">
        <v>16</v>
      </c>
      <c r="P2261" s="619" t="s">
        <v>760</v>
      </c>
      <c r="Q2261" s="662"/>
      <c r="R2261" s="618"/>
      <c r="S2261" s="621" t="s">
        <v>682</v>
      </c>
      <c r="T2261" s="619" t="s">
        <v>1053</v>
      </c>
    </row>
    <row r="2262" spans="1:20">
      <c r="A2262" s="630">
        <v>7302400</v>
      </c>
      <c r="B2262" s="628"/>
      <c r="C2262" s="623"/>
      <c r="D2262" s="623" t="s">
        <v>799</v>
      </c>
      <c r="E2262" s="627" t="s">
        <v>3171</v>
      </c>
      <c r="F2262" s="631" t="s">
        <v>3172</v>
      </c>
      <c r="G2262" s="661">
        <v>730</v>
      </c>
      <c r="H2262" s="633">
        <v>2400</v>
      </c>
      <c r="I2262" s="618"/>
      <c r="J2262" s="619" t="s">
        <v>3171</v>
      </c>
      <c r="K2262" s="618"/>
      <c r="L2262" s="619">
        <v>131</v>
      </c>
      <c r="M2262" s="620">
        <v>122</v>
      </c>
      <c r="N2262" s="619"/>
      <c r="O2262" s="619">
        <v>16</v>
      </c>
      <c r="P2262" s="619" t="s">
        <v>760</v>
      </c>
      <c r="Q2262" s="662"/>
      <c r="R2262" s="618"/>
      <c r="S2262" s="621" t="s">
        <v>682</v>
      </c>
      <c r="T2262" s="619" t="s">
        <v>1055</v>
      </c>
    </row>
    <row r="2263" spans="1:20">
      <c r="A2263" s="630">
        <v>7002400</v>
      </c>
      <c r="B2263" s="628"/>
      <c r="C2263" s="623"/>
      <c r="D2263" s="623" t="s">
        <v>803</v>
      </c>
      <c r="E2263" s="627" t="s">
        <v>1057</v>
      </c>
      <c r="F2263" s="631" t="s">
        <v>3173</v>
      </c>
      <c r="G2263" s="661">
        <v>700</v>
      </c>
      <c r="H2263" s="633">
        <v>2400</v>
      </c>
      <c r="I2263" s="618"/>
      <c r="J2263" s="619" t="s">
        <v>1057</v>
      </c>
      <c r="K2263" s="618"/>
      <c r="L2263" s="619">
        <v>132</v>
      </c>
      <c r="M2263" s="620">
        <v>123</v>
      </c>
      <c r="N2263" s="619"/>
      <c r="O2263" s="619">
        <v>16</v>
      </c>
      <c r="P2263" s="619" t="s">
        <v>760</v>
      </c>
      <c r="Q2263" s="662"/>
      <c r="R2263" s="618"/>
      <c r="S2263" s="621" t="s">
        <v>682</v>
      </c>
      <c r="T2263" s="619" t="s">
        <v>1057</v>
      </c>
    </row>
    <row r="2264" spans="1:20">
      <c r="A2264" s="622"/>
      <c r="B2264" s="628"/>
      <c r="C2264" s="629">
        <v>68</v>
      </c>
      <c r="D2264" s="774" t="s">
        <v>256</v>
      </c>
      <c r="E2264" s="775"/>
      <c r="F2264" s="626"/>
      <c r="G2264" s="623"/>
      <c r="H2264" s="627"/>
      <c r="I2264" s="618"/>
      <c r="J2264" s="618"/>
      <c r="K2264" s="618"/>
      <c r="L2264" s="618"/>
      <c r="M2264" s="618"/>
      <c r="N2264" s="618"/>
      <c r="O2264" s="618"/>
      <c r="P2264" s="618"/>
      <c r="Q2264" s="662"/>
      <c r="R2264" s="618"/>
      <c r="S2264" s="621"/>
      <c r="T2264" s="618"/>
    </row>
    <row r="2265" spans="1:20">
      <c r="A2265" s="630">
        <v>8102400</v>
      </c>
      <c r="B2265" s="628"/>
      <c r="C2265" s="623"/>
      <c r="D2265" s="623" t="s">
        <v>756</v>
      </c>
      <c r="E2265" s="627" t="s">
        <v>3174</v>
      </c>
      <c r="F2265" s="631" t="s">
        <v>3175</v>
      </c>
      <c r="G2265" s="661">
        <v>810</v>
      </c>
      <c r="H2265" s="633">
        <v>2400</v>
      </c>
      <c r="I2265" s="618"/>
      <c r="J2265" s="619" t="s">
        <v>3174</v>
      </c>
      <c r="K2265" s="618"/>
      <c r="L2265" s="619">
        <v>135</v>
      </c>
      <c r="M2265" s="620">
        <v>126</v>
      </c>
      <c r="N2265" s="619"/>
      <c r="O2265" s="619">
        <v>16</v>
      </c>
      <c r="P2265" s="619" t="s">
        <v>760</v>
      </c>
      <c r="Q2265" s="662"/>
      <c r="R2265" s="618"/>
      <c r="S2265" s="621" t="s">
        <v>682</v>
      </c>
      <c r="T2265" s="619" t="s">
        <v>145</v>
      </c>
    </row>
    <row r="2266" spans="1:20">
      <c r="A2266" s="630">
        <v>8952400</v>
      </c>
      <c r="B2266" s="628"/>
      <c r="C2266" s="623"/>
      <c r="D2266" s="623" t="s">
        <v>775</v>
      </c>
      <c r="E2266" s="627" t="s">
        <v>1059</v>
      </c>
      <c r="F2266" s="631" t="s">
        <v>3176</v>
      </c>
      <c r="G2266" s="661">
        <v>895</v>
      </c>
      <c r="H2266" s="633">
        <v>2400</v>
      </c>
      <c r="I2266" s="618"/>
      <c r="J2266" s="619" t="s">
        <v>1059</v>
      </c>
      <c r="K2266" s="618"/>
      <c r="L2266" s="619">
        <v>139</v>
      </c>
      <c r="M2266" s="620">
        <v>129</v>
      </c>
      <c r="N2266" s="619"/>
      <c r="O2266" s="619">
        <v>16</v>
      </c>
      <c r="P2266" s="619" t="s">
        <v>760</v>
      </c>
      <c r="Q2266" s="662"/>
      <c r="R2266" s="618"/>
      <c r="S2266" s="621" t="s">
        <v>682</v>
      </c>
      <c r="T2266" s="619" t="s">
        <v>1059</v>
      </c>
    </row>
    <row r="2267" spans="1:20">
      <c r="A2267" s="630">
        <v>8002400</v>
      </c>
      <c r="B2267" s="628"/>
      <c r="C2267" s="623"/>
      <c r="D2267" s="623" t="s">
        <v>799</v>
      </c>
      <c r="E2267" s="627" t="s">
        <v>1061</v>
      </c>
      <c r="F2267" s="631" t="s">
        <v>3177</v>
      </c>
      <c r="G2267" s="661">
        <v>800</v>
      </c>
      <c r="H2267" s="633">
        <v>2400</v>
      </c>
      <c r="I2267" s="618"/>
      <c r="J2267" s="619" t="s">
        <v>1061</v>
      </c>
      <c r="K2267" s="618"/>
      <c r="L2267" s="619">
        <v>139</v>
      </c>
      <c r="M2267" s="620">
        <v>129</v>
      </c>
      <c r="N2267" s="619"/>
      <c r="O2267" s="619">
        <v>16</v>
      </c>
      <c r="P2267" s="619" t="s">
        <v>760</v>
      </c>
      <c r="Q2267" s="662"/>
      <c r="R2267" s="618"/>
      <c r="S2267" s="621" t="s">
        <v>682</v>
      </c>
      <c r="T2267" s="619" t="s">
        <v>1061</v>
      </c>
    </row>
    <row r="2268" spans="1:20">
      <c r="A2268" s="622"/>
      <c r="B2268" s="628"/>
      <c r="C2268" s="629">
        <v>69</v>
      </c>
      <c r="D2268" s="774" t="s">
        <v>1063</v>
      </c>
      <c r="E2268" s="775"/>
      <c r="F2268" s="626"/>
      <c r="G2268" s="623"/>
      <c r="H2268" s="627"/>
      <c r="I2268" s="618"/>
      <c r="J2268" s="618"/>
      <c r="K2268" s="618"/>
      <c r="L2268" s="618"/>
      <c r="M2268" s="618"/>
      <c r="N2268" s="618"/>
      <c r="O2268" s="618"/>
      <c r="P2268" s="618"/>
      <c r="Q2268" s="662"/>
      <c r="R2268" s="618"/>
      <c r="S2268" s="621"/>
      <c r="T2268" s="618"/>
    </row>
    <row r="2269" spans="1:20">
      <c r="A2269" s="630">
        <v>2102400</v>
      </c>
      <c r="B2269" s="628"/>
      <c r="C2269" s="623"/>
      <c r="D2269" s="623" t="s">
        <v>756</v>
      </c>
      <c r="E2269" s="627" t="s">
        <v>1064</v>
      </c>
      <c r="F2269" s="631" t="s">
        <v>3178</v>
      </c>
      <c r="G2269" s="661">
        <v>210</v>
      </c>
      <c r="H2269" s="633">
        <v>2400</v>
      </c>
      <c r="I2269" s="618"/>
      <c r="J2269" s="619" t="s">
        <v>1064</v>
      </c>
      <c r="K2269" s="618"/>
      <c r="L2269" s="619">
        <v>89</v>
      </c>
      <c r="M2269" s="620">
        <v>84</v>
      </c>
      <c r="N2269" s="619"/>
      <c r="O2269" s="619">
        <v>16</v>
      </c>
      <c r="P2269" s="619" t="s">
        <v>760</v>
      </c>
      <c r="Q2269" s="662" t="s">
        <v>1002</v>
      </c>
      <c r="R2269" s="618"/>
      <c r="S2269" s="621" t="s">
        <v>682</v>
      </c>
      <c r="T2269" s="619" t="s">
        <v>1064</v>
      </c>
    </row>
    <row r="2270" spans="1:20">
      <c r="A2270" s="630">
        <v>2202400</v>
      </c>
      <c r="B2270" s="628"/>
      <c r="C2270" s="623"/>
      <c r="D2270" s="623" t="s">
        <v>775</v>
      </c>
      <c r="E2270" s="627" t="s">
        <v>1066</v>
      </c>
      <c r="F2270" s="631" t="s">
        <v>3179</v>
      </c>
      <c r="G2270" s="661">
        <v>220</v>
      </c>
      <c r="H2270" s="633">
        <v>2400</v>
      </c>
      <c r="I2270" s="618"/>
      <c r="J2270" s="619" t="s">
        <v>1066</v>
      </c>
      <c r="K2270" s="618"/>
      <c r="L2270" s="619">
        <v>90</v>
      </c>
      <c r="M2270" s="620">
        <v>85</v>
      </c>
      <c r="N2270" s="619"/>
      <c r="O2270" s="619">
        <v>16</v>
      </c>
      <c r="P2270" s="619" t="s">
        <v>760</v>
      </c>
      <c r="Q2270" s="662" t="s">
        <v>1002</v>
      </c>
      <c r="R2270" s="618"/>
      <c r="S2270" s="621" t="s">
        <v>682</v>
      </c>
      <c r="T2270" s="619" t="s">
        <v>1066</v>
      </c>
    </row>
    <row r="2271" spans="1:20">
      <c r="A2271" s="630">
        <v>2252400</v>
      </c>
      <c r="B2271" s="628"/>
      <c r="C2271" s="623"/>
      <c r="D2271" s="623" t="s">
        <v>799</v>
      </c>
      <c r="E2271" s="627" t="s">
        <v>23</v>
      </c>
      <c r="F2271" s="631" t="s">
        <v>3180</v>
      </c>
      <c r="G2271" s="661">
        <v>225</v>
      </c>
      <c r="H2271" s="633">
        <v>2400</v>
      </c>
      <c r="I2271" s="618"/>
      <c r="J2271" s="619" t="s">
        <v>23</v>
      </c>
      <c r="K2271" s="618"/>
      <c r="L2271" s="619">
        <v>91</v>
      </c>
      <c r="M2271" s="620">
        <v>86</v>
      </c>
      <c r="N2271" s="619"/>
      <c r="O2271" s="619">
        <v>16</v>
      </c>
      <c r="P2271" s="619" t="s">
        <v>760</v>
      </c>
      <c r="Q2271" s="662" t="s">
        <v>1002</v>
      </c>
      <c r="R2271" s="618"/>
      <c r="S2271" s="621" t="s">
        <v>682</v>
      </c>
      <c r="T2271" s="619" t="s">
        <v>23</v>
      </c>
    </row>
    <row r="2272" spans="1:20">
      <c r="A2272" s="622"/>
      <c r="B2272" s="628"/>
      <c r="C2272" s="623"/>
      <c r="D2272" s="623" t="s">
        <v>803</v>
      </c>
      <c r="E2272" s="627" t="s">
        <v>1069</v>
      </c>
      <c r="F2272" s="626"/>
      <c r="G2272" s="623"/>
      <c r="H2272" s="627"/>
      <c r="I2272" s="618"/>
      <c r="J2272" s="618"/>
      <c r="K2272" s="618"/>
      <c r="L2272" s="618"/>
      <c r="M2272" s="618"/>
      <c r="N2272" s="618"/>
      <c r="O2272" s="618"/>
      <c r="P2272" s="618"/>
      <c r="Q2272" s="662"/>
      <c r="R2272" s="618"/>
      <c r="S2272" s="621"/>
      <c r="T2272" s="618"/>
    </row>
    <row r="2273" spans="1:20">
      <c r="A2273" s="630">
        <v>2312400</v>
      </c>
      <c r="B2273" s="628"/>
      <c r="C2273" s="623"/>
      <c r="D2273" s="623"/>
      <c r="E2273" s="627" t="s">
        <v>1070</v>
      </c>
      <c r="F2273" s="631" t="s">
        <v>3181</v>
      </c>
      <c r="G2273" s="661">
        <v>231</v>
      </c>
      <c r="H2273" s="633">
        <v>2400</v>
      </c>
      <c r="I2273" s="618"/>
      <c r="J2273" s="619" t="s">
        <v>1070</v>
      </c>
      <c r="K2273" s="618"/>
      <c r="L2273" s="619">
        <v>92</v>
      </c>
      <c r="M2273" s="620">
        <v>87</v>
      </c>
      <c r="N2273" s="619"/>
      <c r="O2273" s="619">
        <v>16</v>
      </c>
      <c r="P2273" s="619" t="s">
        <v>760</v>
      </c>
      <c r="Q2273" s="662" t="s">
        <v>1002</v>
      </c>
      <c r="R2273" s="618"/>
      <c r="S2273" s="621" t="s">
        <v>682</v>
      </c>
      <c r="T2273" s="619" t="s">
        <v>1072</v>
      </c>
    </row>
    <row r="2274" spans="1:20">
      <c r="A2274" s="630">
        <v>2332400</v>
      </c>
      <c r="B2274" s="628"/>
      <c r="C2274" s="623"/>
      <c r="D2274" s="623"/>
      <c r="E2274" s="627" t="s">
        <v>1073</v>
      </c>
      <c r="F2274" s="631" t="s">
        <v>3182</v>
      </c>
      <c r="G2274" s="661">
        <v>233</v>
      </c>
      <c r="H2274" s="633">
        <v>2400</v>
      </c>
      <c r="I2274" s="618"/>
      <c r="J2274" s="619" t="s">
        <v>1073</v>
      </c>
      <c r="K2274" s="618"/>
      <c r="L2274" s="619">
        <v>92</v>
      </c>
      <c r="M2274" s="620">
        <v>87</v>
      </c>
      <c r="N2274" s="619"/>
      <c r="O2274" s="619">
        <v>16</v>
      </c>
      <c r="P2274" s="619" t="s">
        <v>760</v>
      </c>
      <c r="Q2274" s="662" t="s">
        <v>1002</v>
      </c>
      <c r="R2274" s="618"/>
      <c r="S2274" s="621" t="s">
        <v>682</v>
      </c>
      <c r="T2274" s="619" t="s">
        <v>1075</v>
      </c>
    </row>
    <row r="2275" spans="1:20">
      <c r="A2275" s="630">
        <v>2392400</v>
      </c>
      <c r="B2275" s="628"/>
      <c r="C2275" s="623"/>
      <c r="D2275" s="623"/>
      <c r="E2275" s="627" t="s">
        <v>1076</v>
      </c>
      <c r="F2275" s="631" t="s">
        <v>3183</v>
      </c>
      <c r="G2275" s="661">
        <v>239</v>
      </c>
      <c r="H2275" s="633">
        <v>2400</v>
      </c>
      <c r="I2275" s="618"/>
      <c r="J2275" s="619" t="s">
        <v>1076</v>
      </c>
      <c r="K2275" s="618"/>
      <c r="L2275" s="619">
        <v>92</v>
      </c>
      <c r="M2275" s="620">
        <v>87</v>
      </c>
      <c r="N2275" s="619"/>
      <c r="O2275" s="619">
        <v>16</v>
      </c>
      <c r="P2275" s="619" t="s">
        <v>760</v>
      </c>
      <c r="Q2275" s="662" t="s">
        <v>1002</v>
      </c>
      <c r="R2275" s="618"/>
      <c r="S2275" s="621" t="s">
        <v>682</v>
      </c>
      <c r="T2275" s="619" t="s">
        <v>1078</v>
      </c>
    </row>
    <row r="2276" spans="1:20">
      <c r="A2276" s="630">
        <v>2502400</v>
      </c>
      <c r="B2276" s="628"/>
      <c r="C2276" s="623"/>
      <c r="D2276" s="623" t="s">
        <v>848</v>
      </c>
      <c r="E2276" s="627" t="s">
        <v>1079</v>
      </c>
      <c r="F2276" s="631" t="s">
        <v>3184</v>
      </c>
      <c r="G2276" s="661">
        <v>250</v>
      </c>
      <c r="H2276" s="633">
        <v>2400</v>
      </c>
      <c r="I2276" s="618"/>
      <c r="J2276" s="619" t="s">
        <v>1079</v>
      </c>
      <c r="K2276" s="618"/>
      <c r="L2276" s="619">
        <v>93</v>
      </c>
      <c r="M2276" s="620">
        <v>88</v>
      </c>
      <c r="N2276" s="619"/>
      <c r="O2276" s="619">
        <v>16</v>
      </c>
      <c r="P2276" s="619" t="s">
        <v>760</v>
      </c>
      <c r="Q2276" s="662" t="s">
        <v>1002</v>
      </c>
      <c r="R2276" s="618"/>
      <c r="S2276" s="621" t="s">
        <v>682</v>
      </c>
      <c r="T2276" s="619" t="s">
        <v>1079</v>
      </c>
    </row>
    <row r="2277" spans="1:20">
      <c r="A2277" s="630">
        <v>2602400</v>
      </c>
      <c r="B2277" s="628"/>
      <c r="C2277" s="623"/>
      <c r="D2277" s="623" t="s">
        <v>851</v>
      </c>
      <c r="E2277" s="627" t="s">
        <v>1081</v>
      </c>
      <c r="F2277" s="631" t="s">
        <v>3185</v>
      </c>
      <c r="G2277" s="661">
        <v>260</v>
      </c>
      <c r="H2277" s="633">
        <v>2400</v>
      </c>
      <c r="I2277" s="618"/>
      <c r="J2277" s="619" t="s">
        <v>1081</v>
      </c>
      <c r="K2277" s="618"/>
      <c r="L2277" s="619">
        <v>95</v>
      </c>
      <c r="M2277" s="620">
        <v>90</v>
      </c>
      <c r="N2277" s="619"/>
      <c r="O2277" s="619">
        <v>16</v>
      </c>
      <c r="P2277" s="619" t="s">
        <v>760</v>
      </c>
      <c r="Q2277" s="662" t="s">
        <v>1002</v>
      </c>
      <c r="R2277" s="618"/>
      <c r="S2277" s="621" t="s">
        <v>682</v>
      </c>
      <c r="T2277" s="619" t="s">
        <v>1081</v>
      </c>
    </row>
    <row r="2278" spans="1:20">
      <c r="A2278" s="630">
        <v>2702400</v>
      </c>
      <c r="B2278" s="628"/>
      <c r="C2278" s="623"/>
      <c r="D2278" s="623" t="s">
        <v>854</v>
      </c>
      <c r="E2278" s="627" t="s">
        <v>1083</v>
      </c>
      <c r="F2278" s="631" t="s">
        <v>3186</v>
      </c>
      <c r="G2278" s="661">
        <v>270</v>
      </c>
      <c r="H2278" s="633">
        <v>2400</v>
      </c>
      <c r="I2278" s="618"/>
      <c r="J2278" s="619" t="s">
        <v>1083</v>
      </c>
      <c r="K2278" s="618"/>
      <c r="L2278" s="619">
        <v>94</v>
      </c>
      <c r="M2278" s="620">
        <v>89</v>
      </c>
      <c r="N2278" s="619"/>
      <c r="O2278" s="619">
        <v>16</v>
      </c>
      <c r="P2278" s="619" t="s">
        <v>760</v>
      </c>
      <c r="Q2278" s="662" t="s">
        <v>1002</v>
      </c>
      <c r="R2278" s="618"/>
      <c r="S2278" s="621" t="s">
        <v>682</v>
      </c>
      <c r="T2278" s="619" t="s">
        <v>1083</v>
      </c>
    </row>
    <row r="2279" spans="1:20">
      <c r="A2279" s="630">
        <v>2812400</v>
      </c>
      <c r="B2279" s="628"/>
      <c r="C2279" s="623"/>
      <c r="D2279" s="623" t="s">
        <v>857</v>
      </c>
      <c r="E2279" s="627" t="s">
        <v>1085</v>
      </c>
      <c r="F2279" s="631" t="s">
        <v>3187</v>
      </c>
      <c r="G2279" s="661">
        <v>281</v>
      </c>
      <c r="H2279" s="633">
        <v>2400</v>
      </c>
      <c r="I2279" s="618"/>
      <c r="J2279" s="619" t="s">
        <v>1085</v>
      </c>
      <c r="K2279" s="618"/>
      <c r="L2279" s="619">
        <v>95</v>
      </c>
      <c r="M2279" s="620">
        <v>90</v>
      </c>
      <c r="N2279" s="619"/>
      <c r="O2279" s="619">
        <v>16</v>
      </c>
      <c r="P2279" s="619" t="s">
        <v>760</v>
      </c>
      <c r="Q2279" s="662" t="s">
        <v>1002</v>
      </c>
      <c r="R2279" s="618"/>
      <c r="S2279" s="621" t="s">
        <v>682</v>
      </c>
      <c r="T2279" s="619" t="s">
        <v>1085</v>
      </c>
    </row>
    <row r="2280" spans="1:20">
      <c r="A2280" s="630">
        <v>2822400</v>
      </c>
      <c r="B2280" s="628"/>
      <c r="C2280" s="623"/>
      <c r="D2280" s="623" t="s">
        <v>860</v>
      </c>
      <c r="E2280" s="627" t="s">
        <v>1087</v>
      </c>
      <c r="F2280" s="631" t="s">
        <v>3188</v>
      </c>
      <c r="G2280" s="661">
        <v>282</v>
      </c>
      <c r="H2280" s="633">
        <v>2400</v>
      </c>
      <c r="I2280" s="618"/>
      <c r="J2280" s="619" t="s">
        <v>1087</v>
      </c>
      <c r="K2280" s="618"/>
      <c r="L2280" s="619">
        <v>95</v>
      </c>
      <c r="M2280" s="620">
        <v>90</v>
      </c>
      <c r="N2280" s="619"/>
      <c r="O2280" s="619">
        <v>16</v>
      </c>
      <c r="P2280" s="619" t="s">
        <v>760</v>
      </c>
      <c r="Q2280" s="662" t="s">
        <v>1002</v>
      </c>
      <c r="R2280" s="618"/>
      <c r="S2280" s="621" t="s">
        <v>682</v>
      </c>
      <c r="T2280" s="619" t="s">
        <v>1087</v>
      </c>
    </row>
    <row r="2281" spans="1:20" ht="16" thickBot="1">
      <c r="A2281" s="630">
        <v>2902400</v>
      </c>
      <c r="B2281" s="667"/>
      <c r="C2281" s="623"/>
      <c r="D2281" s="623" t="s">
        <v>1089</v>
      </c>
      <c r="E2281" s="627" t="s">
        <v>1090</v>
      </c>
      <c r="F2281" s="631" t="s">
        <v>3189</v>
      </c>
      <c r="G2281" s="661">
        <v>290</v>
      </c>
      <c r="H2281" s="633">
        <v>2400</v>
      </c>
      <c r="I2281" s="618"/>
      <c r="J2281" s="619" t="s">
        <v>1090</v>
      </c>
      <c r="K2281" s="618"/>
      <c r="L2281" s="619">
        <v>95</v>
      </c>
      <c r="M2281" s="620">
        <v>90</v>
      </c>
      <c r="N2281" s="619"/>
      <c r="O2281" s="619">
        <v>16</v>
      </c>
      <c r="P2281" s="619" t="s">
        <v>760</v>
      </c>
      <c r="Q2281" s="662" t="s">
        <v>1002</v>
      </c>
      <c r="R2281" s="618"/>
      <c r="S2281" s="621" t="s">
        <v>682</v>
      </c>
      <c r="T2281" s="619" t="s">
        <v>1090</v>
      </c>
    </row>
    <row r="2282" spans="1:20" ht="16.5" thickTop="1" thickBot="1">
      <c r="A2282" s="622"/>
      <c r="B2282" s="613"/>
      <c r="C2282" s="772" t="s">
        <v>3190</v>
      </c>
      <c r="D2282" s="773"/>
      <c r="E2282" s="782"/>
      <c r="F2282" s="656" t="s">
        <v>612</v>
      </c>
      <c r="G2282" s="657"/>
      <c r="H2282" s="658"/>
      <c r="I2282" s="618"/>
      <c r="J2282" s="618"/>
      <c r="K2282" s="618"/>
      <c r="L2282" s="618"/>
      <c r="M2282" s="618"/>
      <c r="N2282" s="618"/>
      <c r="O2282" s="618"/>
      <c r="P2282" s="618"/>
      <c r="Q2282" s="662"/>
      <c r="R2282" s="618"/>
      <c r="S2282" s="621"/>
      <c r="T2282" s="618"/>
    </row>
    <row r="2283" spans="1:20" ht="16" thickTop="1">
      <c r="A2283" s="622"/>
      <c r="B2283" s="623"/>
      <c r="C2283" s="623"/>
      <c r="D2283" s="623"/>
      <c r="E2283" s="627"/>
      <c r="F2283" s="626"/>
      <c r="G2283" s="623"/>
      <c r="H2283" s="627"/>
      <c r="I2283" s="618"/>
      <c r="J2283" s="618"/>
      <c r="K2283" s="618"/>
      <c r="L2283" s="618"/>
      <c r="M2283" s="618"/>
      <c r="N2283" s="618"/>
      <c r="O2283" s="618"/>
      <c r="P2283" s="618"/>
      <c r="Q2283" s="662"/>
      <c r="R2283" s="618"/>
      <c r="S2283" s="621"/>
      <c r="T2283" s="618"/>
    </row>
    <row r="2284" spans="1:20">
      <c r="A2284" s="622"/>
      <c r="B2284" s="628" t="s">
        <v>1638</v>
      </c>
      <c r="C2284" s="790" t="s">
        <v>683</v>
      </c>
      <c r="D2284" s="771"/>
      <c r="E2284" s="775"/>
      <c r="F2284" s="626"/>
      <c r="G2284" s="623"/>
      <c r="H2284" s="627"/>
      <c r="I2284" s="618"/>
      <c r="J2284" s="618"/>
      <c r="K2284" s="618"/>
      <c r="L2284" s="618"/>
      <c r="M2284" s="618"/>
      <c r="N2284" s="618"/>
      <c r="O2284" s="618"/>
      <c r="P2284" s="618"/>
      <c r="Q2284" s="662"/>
      <c r="R2284" s="618"/>
      <c r="S2284" s="621"/>
      <c r="T2284" s="618"/>
    </row>
    <row r="2285" spans="1:20">
      <c r="A2285" s="622"/>
      <c r="B2285" s="623"/>
      <c r="C2285" s="629">
        <v>70</v>
      </c>
      <c r="D2285" s="774" t="s">
        <v>3191</v>
      </c>
      <c r="E2285" s="775"/>
      <c r="F2285" s="626"/>
      <c r="G2285" s="623"/>
      <c r="H2285" s="627"/>
      <c r="I2285" s="618"/>
      <c r="J2285" s="618"/>
      <c r="K2285" s="618"/>
      <c r="L2285" s="618"/>
      <c r="M2285" s="618"/>
      <c r="N2285" s="618"/>
      <c r="O2285" s="618"/>
      <c r="P2285" s="618"/>
      <c r="Q2285" s="662"/>
      <c r="R2285" s="618"/>
      <c r="S2285" s="621"/>
      <c r="T2285" s="618"/>
    </row>
    <row r="2286" spans="1:20">
      <c r="A2286" s="622"/>
      <c r="B2286" s="623"/>
      <c r="C2286" s="623"/>
      <c r="D2286" s="774" t="s">
        <v>3192</v>
      </c>
      <c r="E2286" s="775"/>
      <c r="F2286" s="626"/>
      <c r="G2286" s="623"/>
      <c r="H2286" s="627"/>
      <c r="I2286" s="618"/>
      <c r="J2286" s="618"/>
      <c r="K2286" s="618"/>
      <c r="L2286" s="618"/>
      <c r="M2286" s="618"/>
      <c r="N2286" s="618"/>
      <c r="O2286" s="618"/>
      <c r="P2286" s="618"/>
      <c r="Q2286" s="662"/>
      <c r="R2286" s="618"/>
      <c r="S2286" s="621"/>
      <c r="T2286" s="618"/>
    </row>
    <row r="2287" spans="1:20">
      <c r="A2287" s="622"/>
      <c r="B2287" s="623"/>
      <c r="C2287" s="623"/>
      <c r="D2287" s="623" t="s">
        <v>756</v>
      </c>
      <c r="E2287" s="627" t="s">
        <v>244</v>
      </c>
      <c r="F2287" s="626"/>
      <c r="G2287" s="623"/>
      <c r="H2287" s="627"/>
      <c r="I2287" s="618"/>
      <c r="J2287" s="618"/>
      <c r="K2287" s="618"/>
      <c r="L2287" s="618"/>
      <c r="M2287" s="618"/>
      <c r="N2287" s="618"/>
      <c r="O2287" s="618"/>
      <c r="P2287" s="618"/>
      <c r="Q2287" s="662"/>
      <c r="R2287" s="618"/>
      <c r="S2287" s="621"/>
      <c r="T2287" s="618"/>
    </row>
    <row r="2288" spans="1:20">
      <c r="A2288" s="630">
        <v>1112510</v>
      </c>
      <c r="B2288" s="623"/>
      <c r="C2288" s="623"/>
      <c r="D2288" s="623"/>
      <c r="E2288" s="627" t="s">
        <v>3193</v>
      </c>
      <c r="F2288" s="631" t="s">
        <v>3194</v>
      </c>
      <c r="G2288" s="661">
        <v>111</v>
      </c>
      <c r="H2288" s="633">
        <v>2510</v>
      </c>
      <c r="I2288" s="618"/>
      <c r="J2288" s="619" t="s">
        <v>3193</v>
      </c>
      <c r="K2288" s="618"/>
      <c r="L2288" s="619">
        <v>80</v>
      </c>
      <c r="M2288" s="620">
        <v>75</v>
      </c>
      <c r="N2288" s="619"/>
      <c r="O2288" s="619">
        <v>17</v>
      </c>
      <c r="P2288" s="619" t="s">
        <v>760</v>
      </c>
      <c r="Q2288" s="662"/>
      <c r="R2288" s="618"/>
      <c r="S2288" s="621" t="s">
        <v>683</v>
      </c>
      <c r="T2288" s="619" t="s">
        <v>3195</v>
      </c>
    </row>
    <row r="2289" spans="1:20">
      <c r="A2289" s="630">
        <v>1142510</v>
      </c>
      <c r="B2289" s="623"/>
      <c r="C2289" s="623"/>
      <c r="D2289" s="623"/>
      <c r="E2289" s="627" t="s">
        <v>3196</v>
      </c>
      <c r="F2289" s="631" t="s">
        <v>3197</v>
      </c>
      <c r="G2289" s="661">
        <v>114</v>
      </c>
      <c r="H2289" s="633">
        <v>2510</v>
      </c>
      <c r="I2289" s="618"/>
      <c r="J2289" s="619" t="s">
        <v>3196</v>
      </c>
      <c r="K2289" s="618"/>
      <c r="L2289" s="619">
        <v>84</v>
      </c>
      <c r="M2289" s="620">
        <v>79</v>
      </c>
      <c r="N2289" s="619"/>
      <c r="O2289" s="619">
        <v>17</v>
      </c>
      <c r="P2289" s="619" t="s">
        <v>760</v>
      </c>
      <c r="Q2289" s="662"/>
      <c r="R2289" s="618"/>
      <c r="S2289" s="621" t="s">
        <v>683</v>
      </c>
      <c r="T2289" s="619" t="s">
        <v>1853</v>
      </c>
    </row>
    <row r="2290" spans="1:20">
      <c r="A2290" s="630">
        <v>1182510</v>
      </c>
      <c r="B2290" s="623"/>
      <c r="C2290" s="623"/>
      <c r="D2290" s="623"/>
      <c r="E2290" s="627" t="s">
        <v>3198</v>
      </c>
      <c r="F2290" s="631" t="s">
        <v>3199</v>
      </c>
      <c r="G2290" s="661">
        <v>118</v>
      </c>
      <c r="H2290" s="633">
        <v>2510</v>
      </c>
      <c r="I2290" s="618"/>
      <c r="J2290" s="619" t="s">
        <v>3198</v>
      </c>
      <c r="K2290" s="618"/>
      <c r="L2290" s="619">
        <v>86</v>
      </c>
      <c r="M2290" s="620">
        <v>81</v>
      </c>
      <c r="N2290" s="619"/>
      <c r="O2290" s="619">
        <v>17</v>
      </c>
      <c r="P2290" s="619" t="s">
        <v>760</v>
      </c>
      <c r="Q2290" s="662"/>
      <c r="R2290" s="618"/>
      <c r="S2290" s="621" t="s">
        <v>683</v>
      </c>
      <c r="T2290" s="619" t="s">
        <v>3200</v>
      </c>
    </row>
    <row r="2291" spans="1:20">
      <c r="A2291" s="630">
        <v>1002510</v>
      </c>
      <c r="B2291" s="623"/>
      <c r="C2291" s="623"/>
      <c r="D2291" s="623"/>
      <c r="E2291" s="627" t="s">
        <v>3201</v>
      </c>
      <c r="F2291" s="631" t="s">
        <v>3202</v>
      </c>
      <c r="G2291" s="661">
        <v>100</v>
      </c>
      <c r="H2291" s="633">
        <v>2510</v>
      </c>
      <c r="I2291" s="618"/>
      <c r="J2291" s="619" t="s">
        <v>3201</v>
      </c>
      <c r="K2291" s="618"/>
      <c r="L2291" s="619">
        <v>86</v>
      </c>
      <c r="M2291" s="620">
        <v>81</v>
      </c>
      <c r="N2291" s="619"/>
      <c r="O2291" s="619">
        <v>17</v>
      </c>
      <c r="P2291" s="619" t="s">
        <v>760</v>
      </c>
      <c r="Q2291" s="662"/>
      <c r="R2291" s="618"/>
      <c r="S2291" s="621" t="s">
        <v>683</v>
      </c>
      <c r="T2291" s="619" t="s">
        <v>3203</v>
      </c>
    </row>
    <row r="2292" spans="1:20">
      <c r="A2292" s="622"/>
      <c r="B2292" s="623"/>
      <c r="C2292" s="623"/>
      <c r="D2292" s="623" t="s">
        <v>775</v>
      </c>
      <c r="E2292" s="627" t="s">
        <v>1112</v>
      </c>
      <c r="F2292" s="626"/>
      <c r="G2292" s="623"/>
      <c r="H2292" s="627"/>
      <c r="I2292" s="618"/>
      <c r="J2292" s="618"/>
      <c r="K2292" s="618"/>
      <c r="L2292" s="618"/>
      <c r="M2292" s="618"/>
      <c r="N2292" s="618"/>
      <c r="O2292" s="618"/>
      <c r="P2292" s="618"/>
      <c r="Q2292" s="662"/>
      <c r="R2292" s="618"/>
      <c r="S2292" s="621"/>
      <c r="T2292" s="618"/>
    </row>
    <row r="2293" spans="1:20">
      <c r="A2293" s="630">
        <v>3402510</v>
      </c>
      <c r="B2293" s="623"/>
      <c r="C2293" s="623"/>
      <c r="D2293" s="623"/>
      <c r="E2293" s="627" t="s">
        <v>3204</v>
      </c>
      <c r="F2293" s="631" t="s">
        <v>3205</v>
      </c>
      <c r="G2293" s="661">
        <v>340</v>
      </c>
      <c r="H2293" s="633">
        <v>2510</v>
      </c>
      <c r="I2293" s="618"/>
      <c r="J2293" s="619" t="s">
        <v>3204</v>
      </c>
      <c r="K2293" s="618"/>
      <c r="L2293" s="619">
        <v>101</v>
      </c>
      <c r="M2293" s="620">
        <v>96</v>
      </c>
      <c r="N2293" s="619"/>
      <c r="O2293" s="619">
        <v>17</v>
      </c>
      <c r="P2293" s="619" t="s">
        <v>760</v>
      </c>
      <c r="Q2293" s="662"/>
      <c r="R2293" s="618"/>
      <c r="S2293" s="621" t="s">
        <v>683</v>
      </c>
      <c r="T2293" s="619" t="s">
        <v>3206</v>
      </c>
    </row>
    <row r="2294" spans="1:20">
      <c r="A2294" s="630">
        <v>3002510</v>
      </c>
      <c r="B2294" s="623"/>
      <c r="C2294" s="623"/>
      <c r="D2294" s="623"/>
      <c r="E2294" s="627" t="s">
        <v>3207</v>
      </c>
      <c r="F2294" s="631" t="s">
        <v>3208</v>
      </c>
      <c r="G2294" s="661">
        <v>300</v>
      </c>
      <c r="H2294" s="633">
        <v>2510</v>
      </c>
      <c r="I2294" s="618"/>
      <c r="J2294" s="619" t="s">
        <v>3207</v>
      </c>
      <c r="K2294" s="618"/>
      <c r="L2294" s="619">
        <v>101</v>
      </c>
      <c r="M2294" s="620">
        <v>96</v>
      </c>
      <c r="N2294" s="619"/>
      <c r="O2294" s="619">
        <v>17</v>
      </c>
      <c r="P2294" s="619" t="s">
        <v>760</v>
      </c>
      <c r="Q2294" s="662"/>
      <c r="R2294" s="618"/>
      <c r="S2294" s="621" t="s">
        <v>683</v>
      </c>
      <c r="T2294" s="619" t="s">
        <v>3003</v>
      </c>
    </row>
    <row r="2295" spans="1:20">
      <c r="A2295" s="622"/>
      <c r="B2295" s="623"/>
      <c r="C2295" s="623"/>
      <c r="D2295" s="623" t="s">
        <v>799</v>
      </c>
      <c r="E2295" s="627" t="s">
        <v>250</v>
      </c>
      <c r="F2295" s="626"/>
      <c r="G2295" s="623"/>
      <c r="H2295" s="627"/>
      <c r="I2295" s="618"/>
      <c r="J2295" s="618"/>
      <c r="K2295" s="618"/>
      <c r="L2295" s="618"/>
      <c r="M2295" s="618"/>
      <c r="N2295" s="618"/>
      <c r="O2295" s="618"/>
      <c r="P2295" s="618"/>
      <c r="Q2295" s="662"/>
      <c r="R2295" s="618"/>
      <c r="S2295" s="621"/>
      <c r="T2295" s="618"/>
    </row>
    <row r="2296" spans="1:20">
      <c r="A2296" s="630">
        <v>4302510</v>
      </c>
      <c r="B2296" s="623"/>
      <c r="C2296" s="623"/>
      <c r="D2296" s="623"/>
      <c r="E2296" s="627" t="s">
        <v>1114</v>
      </c>
      <c r="F2296" s="631" t="s">
        <v>3209</v>
      </c>
      <c r="G2296" s="661">
        <v>430</v>
      </c>
      <c r="H2296" s="633">
        <v>2510</v>
      </c>
      <c r="I2296" s="618"/>
      <c r="J2296" s="619" t="s">
        <v>1114</v>
      </c>
      <c r="K2296" s="618"/>
      <c r="L2296" s="619">
        <v>107</v>
      </c>
      <c r="M2296" s="620">
        <v>102</v>
      </c>
      <c r="N2296" s="619"/>
      <c r="O2296" s="619">
        <v>17</v>
      </c>
      <c r="P2296" s="619" t="s">
        <v>760</v>
      </c>
      <c r="Q2296" s="662"/>
      <c r="R2296" s="618"/>
      <c r="S2296" s="621" t="s">
        <v>683</v>
      </c>
      <c r="T2296" s="619" t="s">
        <v>1021</v>
      </c>
    </row>
    <row r="2297" spans="1:20">
      <c r="A2297" s="630">
        <v>4422510</v>
      </c>
      <c r="B2297" s="623"/>
      <c r="C2297" s="623"/>
      <c r="D2297" s="623"/>
      <c r="E2297" s="627" t="s">
        <v>1381</v>
      </c>
      <c r="F2297" s="631" t="s">
        <v>3210</v>
      </c>
      <c r="G2297" s="661">
        <v>442</v>
      </c>
      <c r="H2297" s="633">
        <v>2510</v>
      </c>
      <c r="I2297" s="618"/>
      <c r="J2297" s="619" t="s">
        <v>1381</v>
      </c>
      <c r="K2297" s="618"/>
      <c r="L2297" s="619">
        <v>106</v>
      </c>
      <c r="M2297" s="620">
        <v>101</v>
      </c>
      <c r="N2297" s="619"/>
      <c r="O2297" s="619">
        <v>17</v>
      </c>
      <c r="P2297" s="619" t="s">
        <v>760</v>
      </c>
      <c r="Q2297" s="662"/>
      <c r="R2297" s="618"/>
      <c r="S2297" s="621" t="s">
        <v>683</v>
      </c>
      <c r="T2297" s="619" t="s">
        <v>1383</v>
      </c>
    </row>
    <row r="2298" spans="1:20">
      <c r="A2298" s="630">
        <v>4002510</v>
      </c>
      <c r="B2298" s="623"/>
      <c r="C2298" s="623"/>
      <c r="D2298" s="623"/>
      <c r="E2298" s="627" t="s">
        <v>1118</v>
      </c>
      <c r="F2298" s="631" t="s">
        <v>3211</v>
      </c>
      <c r="G2298" s="661">
        <v>400</v>
      </c>
      <c r="H2298" s="633">
        <v>2510</v>
      </c>
      <c r="I2298" s="618"/>
      <c r="J2298" s="619" t="s">
        <v>1118</v>
      </c>
      <c r="K2298" s="618"/>
      <c r="L2298" s="619">
        <v>108</v>
      </c>
      <c r="M2298" s="620">
        <v>103</v>
      </c>
      <c r="N2298" s="619"/>
      <c r="O2298" s="619">
        <v>17</v>
      </c>
      <c r="P2298" s="619" t="s">
        <v>760</v>
      </c>
      <c r="Q2298" s="662"/>
      <c r="R2298" s="618"/>
      <c r="S2298" s="621" t="s">
        <v>683</v>
      </c>
      <c r="T2298" s="619" t="s">
        <v>1025</v>
      </c>
    </row>
    <row r="2299" spans="1:20">
      <c r="A2299" s="622"/>
      <c r="B2299" s="623"/>
      <c r="C2299" s="623"/>
      <c r="D2299" s="623" t="s">
        <v>803</v>
      </c>
      <c r="E2299" s="627" t="s">
        <v>252</v>
      </c>
      <c r="F2299" s="626"/>
      <c r="G2299" s="623"/>
      <c r="H2299" s="627"/>
      <c r="I2299" s="618"/>
      <c r="J2299" s="618"/>
      <c r="K2299" s="618"/>
      <c r="L2299" s="618"/>
      <c r="M2299" s="618"/>
      <c r="N2299" s="618"/>
      <c r="O2299" s="618"/>
      <c r="P2299" s="618"/>
      <c r="Q2299" s="662"/>
      <c r="R2299" s="618"/>
      <c r="S2299" s="621"/>
      <c r="T2299" s="618"/>
    </row>
    <row r="2300" spans="1:20">
      <c r="A2300" s="630">
        <v>5302510</v>
      </c>
      <c r="B2300" s="623"/>
      <c r="C2300" s="623"/>
      <c r="D2300" s="623"/>
      <c r="E2300" s="627" t="s">
        <v>3104</v>
      </c>
      <c r="F2300" s="631" t="s">
        <v>3212</v>
      </c>
      <c r="G2300" s="661">
        <v>530</v>
      </c>
      <c r="H2300" s="633">
        <v>2510</v>
      </c>
      <c r="I2300" s="618"/>
      <c r="J2300" s="619" t="s">
        <v>3104</v>
      </c>
      <c r="K2300" s="618"/>
      <c r="L2300" s="619">
        <v>119</v>
      </c>
      <c r="M2300" s="620">
        <v>110</v>
      </c>
      <c r="N2300" s="619"/>
      <c r="O2300" s="619">
        <v>17</v>
      </c>
      <c r="P2300" s="619" t="s">
        <v>760</v>
      </c>
      <c r="Q2300" s="662"/>
      <c r="R2300" s="618"/>
      <c r="S2300" s="621" t="s">
        <v>683</v>
      </c>
      <c r="T2300" s="619" t="s">
        <v>3019</v>
      </c>
    </row>
    <row r="2301" spans="1:20">
      <c r="A2301" s="630">
        <v>5402510</v>
      </c>
      <c r="B2301" s="623"/>
      <c r="C2301" s="623"/>
      <c r="D2301" s="623"/>
      <c r="E2301" s="627" t="s">
        <v>3213</v>
      </c>
      <c r="F2301" s="631" t="s">
        <v>3214</v>
      </c>
      <c r="G2301" s="661">
        <v>540</v>
      </c>
      <c r="H2301" s="633">
        <v>2510</v>
      </c>
      <c r="I2301" s="618"/>
      <c r="J2301" s="619" t="s">
        <v>3213</v>
      </c>
      <c r="K2301" s="618"/>
      <c r="L2301" s="619">
        <v>119</v>
      </c>
      <c r="M2301" s="620">
        <v>110</v>
      </c>
      <c r="N2301" s="619"/>
      <c r="O2301" s="619">
        <v>17</v>
      </c>
      <c r="P2301" s="619" t="s">
        <v>760</v>
      </c>
      <c r="Q2301" s="662"/>
      <c r="R2301" s="618"/>
      <c r="S2301" s="621" t="s">
        <v>683</v>
      </c>
      <c r="T2301" s="619" t="s">
        <v>3215</v>
      </c>
    </row>
    <row r="2302" spans="1:20">
      <c r="A2302" s="630">
        <v>5822510</v>
      </c>
      <c r="B2302" s="623"/>
      <c r="C2302" s="623"/>
      <c r="D2302" s="623"/>
      <c r="E2302" s="627" t="s">
        <v>1392</v>
      </c>
      <c r="F2302" s="631" t="s">
        <v>3216</v>
      </c>
      <c r="G2302" s="661">
        <v>582</v>
      </c>
      <c r="H2302" s="633">
        <v>2510</v>
      </c>
      <c r="I2302" s="618"/>
      <c r="J2302" s="619" t="s">
        <v>1392</v>
      </c>
      <c r="K2302" s="618"/>
      <c r="L2302" s="619">
        <v>118</v>
      </c>
      <c r="M2302" s="620">
        <v>109</v>
      </c>
      <c r="N2302" s="619"/>
      <c r="O2302" s="619">
        <v>17</v>
      </c>
      <c r="P2302" s="619" t="s">
        <v>760</v>
      </c>
      <c r="Q2302" s="662"/>
      <c r="R2302" s="618"/>
      <c r="S2302" s="621" t="s">
        <v>683</v>
      </c>
      <c r="T2302" s="619" t="s">
        <v>1037</v>
      </c>
    </row>
    <row r="2303" spans="1:20">
      <c r="A2303" s="630">
        <v>5002510</v>
      </c>
      <c r="B2303" s="623"/>
      <c r="C2303" s="623"/>
      <c r="D2303" s="623"/>
      <c r="E2303" s="627" t="s">
        <v>1394</v>
      </c>
      <c r="F2303" s="631" t="s">
        <v>3217</v>
      </c>
      <c r="G2303" s="661">
        <v>500</v>
      </c>
      <c r="H2303" s="633">
        <v>2510</v>
      </c>
      <c r="I2303" s="618"/>
      <c r="J2303" s="619" t="s">
        <v>1394</v>
      </c>
      <c r="K2303" s="618"/>
      <c r="L2303" s="619">
        <v>119</v>
      </c>
      <c r="M2303" s="620">
        <v>110</v>
      </c>
      <c r="N2303" s="619"/>
      <c r="O2303" s="619">
        <v>17</v>
      </c>
      <c r="P2303" s="619" t="s">
        <v>760</v>
      </c>
      <c r="Q2303" s="662"/>
      <c r="R2303" s="618"/>
      <c r="S2303" s="621" t="s">
        <v>683</v>
      </c>
      <c r="T2303" s="619" t="s">
        <v>252</v>
      </c>
    </row>
    <row r="2304" spans="1:20">
      <c r="A2304" s="622"/>
      <c r="B2304" s="623"/>
      <c r="C2304" s="623"/>
      <c r="D2304" s="623" t="s">
        <v>848</v>
      </c>
      <c r="E2304" s="627" t="s">
        <v>254</v>
      </c>
      <c r="F2304" s="626"/>
      <c r="G2304" s="623"/>
      <c r="H2304" s="627"/>
      <c r="I2304" s="618"/>
      <c r="J2304" s="618"/>
      <c r="K2304" s="618"/>
      <c r="L2304" s="618"/>
      <c r="M2304" s="618"/>
      <c r="N2304" s="618"/>
      <c r="O2304" s="618"/>
      <c r="P2304" s="618"/>
      <c r="Q2304" s="662"/>
      <c r="R2304" s="618"/>
      <c r="S2304" s="621"/>
      <c r="T2304" s="618"/>
    </row>
    <row r="2305" spans="1:20">
      <c r="A2305" s="630">
        <v>6152510</v>
      </c>
      <c r="B2305" s="623"/>
      <c r="C2305" s="623"/>
      <c r="D2305" s="623"/>
      <c r="E2305" s="627" t="s">
        <v>1138</v>
      </c>
      <c r="F2305" s="631" t="s">
        <v>3218</v>
      </c>
      <c r="G2305" s="661">
        <v>615</v>
      </c>
      <c r="H2305" s="633">
        <v>2510</v>
      </c>
      <c r="I2305" s="618"/>
      <c r="J2305" s="619" t="s">
        <v>1138</v>
      </c>
      <c r="K2305" s="618"/>
      <c r="L2305" s="619">
        <v>126</v>
      </c>
      <c r="M2305" s="620">
        <v>117</v>
      </c>
      <c r="N2305" s="619"/>
      <c r="O2305" s="619">
        <v>17</v>
      </c>
      <c r="P2305" s="619" t="s">
        <v>760</v>
      </c>
      <c r="Q2305" s="662" t="s">
        <v>1043</v>
      </c>
      <c r="R2305" s="618"/>
      <c r="S2305" s="621" t="s">
        <v>683</v>
      </c>
      <c r="T2305" s="619" t="s">
        <v>1041</v>
      </c>
    </row>
    <row r="2306" spans="1:20">
      <c r="A2306" s="630">
        <v>6102510</v>
      </c>
      <c r="B2306" s="623"/>
      <c r="C2306" s="623"/>
      <c r="D2306" s="623"/>
      <c r="E2306" s="627" t="s">
        <v>1140</v>
      </c>
      <c r="F2306" s="631" t="s">
        <v>3219</v>
      </c>
      <c r="G2306" s="661">
        <v>610</v>
      </c>
      <c r="H2306" s="633">
        <v>2510</v>
      </c>
      <c r="I2306" s="618"/>
      <c r="J2306" s="619" t="s">
        <v>1140</v>
      </c>
      <c r="K2306" s="618"/>
      <c r="L2306" s="619">
        <v>122</v>
      </c>
      <c r="M2306" s="620">
        <v>113</v>
      </c>
      <c r="N2306" s="619"/>
      <c r="O2306" s="619">
        <v>17</v>
      </c>
      <c r="P2306" s="619" t="s">
        <v>760</v>
      </c>
      <c r="Q2306" s="662" t="s">
        <v>1043</v>
      </c>
      <c r="R2306" s="618"/>
      <c r="S2306" s="621" t="s">
        <v>683</v>
      </c>
      <c r="T2306" s="619" t="s">
        <v>39</v>
      </c>
    </row>
    <row r="2307" spans="1:20">
      <c r="A2307" s="630">
        <v>6002510</v>
      </c>
      <c r="B2307" s="623"/>
      <c r="C2307" s="623"/>
      <c r="D2307" s="623"/>
      <c r="E2307" s="627" t="s">
        <v>1869</v>
      </c>
      <c r="F2307" s="631" t="s">
        <v>3220</v>
      </c>
      <c r="G2307" s="661">
        <v>600</v>
      </c>
      <c r="H2307" s="633">
        <v>2510</v>
      </c>
      <c r="I2307" s="618"/>
      <c r="J2307" s="619" t="s">
        <v>1869</v>
      </c>
      <c r="K2307" s="618"/>
      <c r="L2307" s="619">
        <v>126</v>
      </c>
      <c r="M2307" s="620">
        <v>117</v>
      </c>
      <c r="N2307" s="619"/>
      <c r="O2307" s="619">
        <v>17</v>
      </c>
      <c r="P2307" s="619" t="s">
        <v>760</v>
      </c>
      <c r="Q2307" s="662"/>
      <c r="R2307" s="618"/>
      <c r="S2307" s="621" t="s">
        <v>683</v>
      </c>
      <c r="T2307" s="619" t="s">
        <v>1048</v>
      </c>
    </row>
    <row r="2308" spans="1:20">
      <c r="A2308" s="622"/>
      <c r="B2308" s="623"/>
      <c r="C2308" s="623"/>
      <c r="D2308" s="623" t="s">
        <v>851</v>
      </c>
      <c r="E2308" s="627" t="s">
        <v>1050</v>
      </c>
      <c r="F2308" s="626"/>
      <c r="G2308" s="623"/>
      <c r="H2308" s="627"/>
      <c r="I2308" s="618"/>
      <c r="J2308" s="618"/>
      <c r="K2308" s="618"/>
      <c r="L2308" s="618"/>
      <c r="M2308" s="618"/>
      <c r="N2308" s="618"/>
      <c r="O2308" s="618"/>
      <c r="P2308" s="618"/>
      <c r="Q2308" s="662"/>
      <c r="R2308" s="618"/>
      <c r="S2308" s="621"/>
      <c r="T2308" s="618"/>
    </row>
    <row r="2309" spans="1:20">
      <c r="A2309" s="630">
        <v>7342510</v>
      </c>
      <c r="B2309" s="623"/>
      <c r="C2309" s="623"/>
      <c r="D2309" s="623"/>
      <c r="E2309" s="627" t="s">
        <v>1146</v>
      </c>
      <c r="F2309" s="631" t="s">
        <v>3221</v>
      </c>
      <c r="G2309" s="661">
        <v>734</v>
      </c>
      <c r="H2309" s="633">
        <v>2510</v>
      </c>
      <c r="I2309" s="618"/>
      <c r="J2309" s="619" t="s">
        <v>1146</v>
      </c>
      <c r="K2309" s="618"/>
      <c r="L2309" s="619">
        <v>131</v>
      </c>
      <c r="M2309" s="620">
        <v>122</v>
      </c>
      <c r="N2309" s="619"/>
      <c r="O2309" s="619">
        <v>17</v>
      </c>
      <c r="P2309" s="619" t="s">
        <v>760</v>
      </c>
      <c r="Q2309" s="662"/>
      <c r="R2309" s="618"/>
      <c r="S2309" s="621" t="s">
        <v>683</v>
      </c>
      <c r="T2309" s="619" t="s">
        <v>1051</v>
      </c>
    </row>
    <row r="2310" spans="1:20">
      <c r="A2310" s="630">
        <v>7352510</v>
      </c>
      <c r="B2310" s="623"/>
      <c r="C2310" s="623"/>
      <c r="D2310" s="623"/>
      <c r="E2310" s="627" t="s">
        <v>1148</v>
      </c>
      <c r="F2310" s="631" t="s">
        <v>3222</v>
      </c>
      <c r="G2310" s="661">
        <v>735</v>
      </c>
      <c r="H2310" s="633">
        <v>2510</v>
      </c>
      <c r="I2310" s="618"/>
      <c r="J2310" s="619" t="s">
        <v>1148</v>
      </c>
      <c r="K2310" s="618"/>
      <c r="L2310" s="619">
        <v>131</v>
      </c>
      <c r="M2310" s="620">
        <v>122</v>
      </c>
      <c r="N2310" s="619"/>
      <c r="O2310" s="619">
        <v>17</v>
      </c>
      <c r="P2310" s="619" t="s">
        <v>760</v>
      </c>
      <c r="Q2310" s="662"/>
      <c r="R2310" s="618"/>
      <c r="S2310" s="621" t="s">
        <v>683</v>
      </c>
      <c r="T2310" s="619" t="s">
        <v>1053</v>
      </c>
    </row>
    <row r="2311" spans="1:20">
      <c r="A2311" s="630">
        <v>7302510</v>
      </c>
      <c r="B2311" s="623"/>
      <c r="C2311" s="623"/>
      <c r="D2311" s="623"/>
      <c r="E2311" s="627" t="s">
        <v>1150</v>
      </c>
      <c r="F2311" s="631" t="s">
        <v>3223</v>
      </c>
      <c r="G2311" s="661">
        <v>730</v>
      </c>
      <c r="H2311" s="633">
        <v>2510</v>
      </c>
      <c r="I2311" s="618"/>
      <c r="J2311" s="619" t="s">
        <v>1150</v>
      </c>
      <c r="K2311" s="618"/>
      <c r="L2311" s="619">
        <v>131</v>
      </c>
      <c r="M2311" s="620">
        <v>122</v>
      </c>
      <c r="N2311" s="619"/>
      <c r="O2311" s="619">
        <v>17</v>
      </c>
      <c r="P2311" s="619" t="s">
        <v>760</v>
      </c>
      <c r="Q2311" s="662"/>
      <c r="R2311" s="618"/>
      <c r="S2311" s="621" t="s">
        <v>683</v>
      </c>
      <c r="T2311" s="619" t="s">
        <v>1055</v>
      </c>
    </row>
    <row r="2312" spans="1:20">
      <c r="A2312" s="630">
        <v>7002510</v>
      </c>
      <c r="B2312" s="623"/>
      <c r="C2312" s="623"/>
      <c r="D2312" s="623"/>
      <c r="E2312" s="627" t="s">
        <v>1152</v>
      </c>
      <c r="F2312" s="631" t="s">
        <v>3224</v>
      </c>
      <c r="G2312" s="661">
        <v>700</v>
      </c>
      <c r="H2312" s="633">
        <v>2510</v>
      </c>
      <c r="I2312" s="618"/>
      <c r="J2312" s="619" t="s">
        <v>1152</v>
      </c>
      <c r="K2312" s="618"/>
      <c r="L2312" s="619">
        <v>132</v>
      </c>
      <c r="M2312" s="620">
        <v>123</v>
      </c>
      <c r="N2312" s="619"/>
      <c r="O2312" s="619">
        <v>17</v>
      </c>
      <c r="P2312" s="619" t="s">
        <v>760</v>
      </c>
      <c r="Q2312" s="662"/>
      <c r="R2312" s="618"/>
      <c r="S2312" s="621" t="s">
        <v>683</v>
      </c>
      <c r="T2312" s="619" t="s">
        <v>1057</v>
      </c>
    </row>
    <row r="2313" spans="1:20">
      <c r="A2313" s="622"/>
      <c r="B2313" s="623"/>
      <c r="C2313" s="623"/>
      <c r="D2313" s="623" t="s">
        <v>854</v>
      </c>
      <c r="E2313" s="627" t="s">
        <v>3060</v>
      </c>
      <c r="F2313" s="626"/>
      <c r="G2313" s="623"/>
      <c r="H2313" s="627"/>
      <c r="I2313" s="618"/>
      <c r="J2313" s="618"/>
      <c r="K2313" s="618"/>
      <c r="L2313" s="618"/>
      <c r="M2313" s="618"/>
      <c r="N2313" s="618"/>
      <c r="O2313" s="618"/>
      <c r="P2313" s="618"/>
      <c r="Q2313" s="662"/>
      <c r="R2313" s="618"/>
      <c r="S2313" s="621"/>
      <c r="T2313" s="618"/>
    </row>
    <row r="2314" spans="1:20">
      <c r="A2314" s="630">
        <v>8352510</v>
      </c>
      <c r="B2314" s="623"/>
      <c r="C2314" s="623"/>
      <c r="D2314" s="623"/>
      <c r="E2314" s="627" t="s">
        <v>3225</v>
      </c>
      <c r="F2314" s="631" t="s">
        <v>3226</v>
      </c>
      <c r="G2314" s="661">
        <v>835</v>
      </c>
      <c r="H2314" s="633">
        <v>2510</v>
      </c>
      <c r="I2314" s="618"/>
      <c r="J2314" s="619" t="s">
        <v>3225</v>
      </c>
      <c r="K2314" s="618"/>
      <c r="L2314" s="619">
        <v>137</v>
      </c>
      <c r="M2314" s="620">
        <v>127</v>
      </c>
      <c r="N2314" s="619"/>
      <c r="O2314" s="619">
        <v>17</v>
      </c>
      <c r="P2314" s="619" t="s">
        <v>760</v>
      </c>
      <c r="Q2314" s="662"/>
      <c r="R2314" s="618"/>
      <c r="S2314" s="621" t="s">
        <v>683</v>
      </c>
      <c r="T2314" s="619" t="s">
        <v>3227</v>
      </c>
    </row>
    <row r="2315" spans="1:20">
      <c r="A2315" s="630">
        <v>8002510</v>
      </c>
      <c r="B2315" s="623"/>
      <c r="C2315" s="623"/>
      <c r="D2315" s="623"/>
      <c r="E2315" s="627" t="s">
        <v>3228</v>
      </c>
      <c r="F2315" s="631" t="s">
        <v>3229</v>
      </c>
      <c r="G2315" s="661">
        <v>800</v>
      </c>
      <c r="H2315" s="633">
        <v>2510</v>
      </c>
      <c r="I2315" s="618"/>
      <c r="J2315" s="619" t="s">
        <v>3228</v>
      </c>
      <c r="K2315" s="618"/>
      <c r="L2315" s="619">
        <v>139</v>
      </c>
      <c r="M2315" s="620">
        <v>129</v>
      </c>
      <c r="N2315" s="619"/>
      <c r="O2315" s="619">
        <v>17</v>
      </c>
      <c r="P2315" s="619" t="s">
        <v>760</v>
      </c>
      <c r="Q2315" s="662"/>
      <c r="R2315" s="618"/>
      <c r="S2315" s="621" t="s">
        <v>683</v>
      </c>
      <c r="T2315" s="619" t="s">
        <v>3070</v>
      </c>
    </row>
    <row r="2316" spans="1:20">
      <c r="A2316" s="622"/>
      <c r="B2316" s="623"/>
      <c r="C2316" s="623"/>
      <c r="D2316" s="623" t="s">
        <v>857</v>
      </c>
      <c r="E2316" s="627" t="s">
        <v>1063</v>
      </c>
      <c r="F2316" s="626"/>
      <c r="G2316" s="623"/>
      <c r="H2316" s="627"/>
      <c r="I2316" s="618"/>
      <c r="J2316" s="618"/>
      <c r="K2316" s="618"/>
      <c r="L2316" s="618"/>
      <c r="M2316" s="618"/>
      <c r="N2316" s="618"/>
      <c r="O2316" s="618"/>
      <c r="P2316" s="618"/>
      <c r="Q2316" s="662"/>
      <c r="R2316" s="618"/>
      <c r="S2316" s="621"/>
      <c r="T2316" s="618"/>
    </row>
    <row r="2317" spans="1:20">
      <c r="A2317" s="630">
        <v>2102510</v>
      </c>
      <c r="B2317" s="623"/>
      <c r="C2317" s="623"/>
      <c r="D2317" s="623"/>
      <c r="E2317" s="627" t="s">
        <v>1158</v>
      </c>
      <c r="F2317" s="631" t="s">
        <v>3230</v>
      </c>
      <c r="G2317" s="661">
        <v>210</v>
      </c>
      <c r="H2317" s="633">
        <v>2510</v>
      </c>
      <c r="I2317" s="618"/>
      <c r="J2317" s="619" t="s">
        <v>1158</v>
      </c>
      <c r="K2317" s="618"/>
      <c r="L2317" s="619">
        <v>89</v>
      </c>
      <c r="M2317" s="620">
        <v>84</v>
      </c>
      <c r="N2317" s="619"/>
      <c r="O2317" s="619">
        <v>17</v>
      </c>
      <c r="P2317" s="619" t="s">
        <v>760</v>
      </c>
      <c r="Q2317" s="662"/>
      <c r="R2317" s="618"/>
      <c r="S2317" s="621" t="s">
        <v>683</v>
      </c>
      <c r="T2317" s="619" t="s">
        <v>1064</v>
      </c>
    </row>
    <row r="2318" spans="1:20">
      <c r="A2318" s="630">
        <v>2202510</v>
      </c>
      <c r="B2318" s="623"/>
      <c r="C2318" s="623"/>
      <c r="D2318" s="623"/>
      <c r="E2318" s="627" t="s">
        <v>1160</v>
      </c>
      <c r="F2318" s="631" t="s">
        <v>3231</v>
      </c>
      <c r="G2318" s="661">
        <v>220</v>
      </c>
      <c r="H2318" s="633">
        <v>2510</v>
      </c>
      <c r="I2318" s="618"/>
      <c r="J2318" s="619" t="s">
        <v>1160</v>
      </c>
      <c r="K2318" s="618"/>
      <c r="L2318" s="619">
        <v>90</v>
      </c>
      <c r="M2318" s="620">
        <v>85</v>
      </c>
      <c r="N2318" s="619"/>
      <c r="O2318" s="619">
        <v>17</v>
      </c>
      <c r="P2318" s="619" t="s">
        <v>760</v>
      </c>
      <c r="Q2318" s="662"/>
      <c r="R2318" s="618"/>
      <c r="S2318" s="621" t="s">
        <v>683</v>
      </c>
      <c r="T2318" s="619" t="s">
        <v>1066</v>
      </c>
    </row>
    <row r="2319" spans="1:20">
      <c r="A2319" s="630">
        <v>2252510</v>
      </c>
      <c r="B2319" s="623"/>
      <c r="C2319" s="623"/>
      <c r="D2319" s="623"/>
      <c r="E2319" s="627" t="s">
        <v>1162</v>
      </c>
      <c r="F2319" s="631" t="s">
        <v>3232</v>
      </c>
      <c r="G2319" s="661">
        <v>225</v>
      </c>
      <c r="H2319" s="633">
        <v>2510</v>
      </c>
      <c r="I2319" s="618"/>
      <c r="J2319" s="619" t="s">
        <v>1162</v>
      </c>
      <c r="K2319" s="618"/>
      <c r="L2319" s="619">
        <v>91</v>
      </c>
      <c r="M2319" s="620">
        <v>86</v>
      </c>
      <c r="N2319" s="619"/>
      <c r="O2319" s="619">
        <v>17</v>
      </c>
      <c r="P2319" s="619" t="s">
        <v>760</v>
      </c>
      <c r="Q2319" s="662"/>
      <c r="R2319" s="618"/>
      <c r="S2319" s="621" t="s">
        <v>683</v>
      </c>
      <c r="T2319" s="619" t="s">
        <v>23</v>
      </c>
    </row>
    <row r="2320" spans="1:20">
      <c r="A2320" s="622"/>
      <c r="B2320" s="623"/>
      <c r="C2320" s="623"/>
      <c r="D2320" s="623"/>
      <c r="E2320" s="627" t="s">
        <v>1164</v>
      </c>
      <c r="F2320" s="626"/>
      <c r="G2320" s="623"/>
      <c r="H2320" s="627"/>
      <c r="I2320" s="618"/>
      <c r="J2320" s="618"/>
      <c r="K2320" s="618"/>
      <c r="L2320" s="618"/>
      <c r="M2320" s="618"/>
      <c r="N2320" s="618"/>
      <c r="O2320" s="618"/>
      <c r="P2320" s="618"/>
      <c r="Q2320" s="662"/>
      <c r="R2320" s="618"/>
      <c r="S2320" s="621"/>
      <c r="T2320" s="618"/>
    </row>
    <row r="2321" spans="1:20">
      <c r="A2321" s="630">
        <v>2312510</v>
      </c>
      <c r="B2321" s="623"/>
      <c r="C2321" s="623"/>
      <c r="D2321" s="623"/>
      <c r="E2321" s="627" t="s">
        <v>1165</v>
      </c>
      <c r="F2321" s="631" t="s">
        <v>3233</v>
      </c>
      <c r="G2321" s="661">
        <v>231</v>
      </c>
      <c r="H2321" s="633">
        <v>2510</v>
      </c>
      <c r="I2321" s="618"/>
      <c r="J2321" s="619" t="s">
        <v>1165</v>
      </c>
      <c r="K2321" s="618"/>
      <c r="L2321" s="619">
        <v>92</v>
      </c>
      <c r="M2321" s="620">
        <v>87</v>
      </c>
      <c r="N2321" s="619"/>
      <c r="O2321" s="619">
        <v>17</v>
      </c>
      <c r="P2321" s="619" t="s">
        <v>760</v>
      </c>
      <c r="Q2321" s="662"/>
      <c r="R2321" s="618"/>
      <c r="S2321" s="621" t="s">
        <v>683</v>
      </c>
      <c r="T2321" s="619" t="s">
        <v>1072</v>
      </c>
    </row>
    <row r="2322" spans="1:20">
      <c r="A2322" s="630">
        <v>2332510</v>
      </c>
      <c r="B2322" s="623"/>
      <c r="C2322" s="623"/>
      <c r="D2322" s="623"/>
      <c r="E2322" s="627" t="s">
        <v>1167</v>
      </c>
      <c r="F2322" s="631" t="s">
        <v>3234</v>
      </c>
      <c r="G2322" s="661">
        <v>233</v>
      </c>
      <c r="H2322" s="633">
        <v>2510</v>
      </c>
      <c r="I2322" s="618"/>
      <c r="J2322" s="619" t="s">
        <v>1167</v>
      </c>
      <c r="K2322" s="618"/>
      <c r="L2322" s="619">
        <v>92</v>
      </c>
      <c r="M2322" s="620">
        <v>87</v>
      </c>
      <c r="N2322" s="619"/>
      <c r="O2322" s="619">
        <v>17</v>
      </c>
      <c r="P2322" s="619" t="s">
        <v>760</v>
      </c>
      <c r="Q2322" s="662"/>
      <c r="R2322" s="618"/>
      <c r="S2322" s="621" t="s">
        <v>683</v>
      </c>
      <c r="T2322" s="619" t="s">
        <v>1169</v>
      </c>
    </row>
    <row r="2323" spans="1:20">
      <c r="A2323" s="630">
        <v>2392510</v>
      </c>
      <c r="B2323" s="623"/>
      <c r="C2323" s="623"/>
      <c r="D2323" s="623"/>
      <c r="E2323" s="627" t="s">
        <v>1170</v>
      </c>
      <c r="F2323" s="631" t="s">
        <v>3235</v>
      </c>
      <c r="G2323" s="661">
        <v>239</v>
      </c>
      <c r="H2323" s="633">
        <v>2510</v>
      </c>
      <c r="I2323" s="618"/>
      <c r="J2323" s="619" t="s">
        <v>1170</v>
      </c>
      <c r="K2323" s="618"/>
      <c r="L2323" s="619">
        <v>92</v>
      </c>
      <c r="M2323" s="620">
        <v>87</v>
      </c>
      <c r="N2323" s="619"/>
      <c r="O2323" s="619">
        <v>17</v>
      </c>
      <c r="P2323" s="619" t="s">
        <v>760</v>
      </c>
      <c r="Q2323" s="662"/>
      <c r="R2323" s="618"/>
      <c r="S2323" s="621" t="s">
        <v>683</v>
      </c>
      <c r="T2323" s="619" t="s">
        <v>1078</v>
      </c>
    </row>
    <row r="2324" spans="1:20">
      <c r="A2324" s="630">
        <v>2502510</v>
      </c>
      <c r="B2324" s="623"/>
      <c r="C2324" s="623"/>
      <c r="D2324" s="623"/>
      <c r="E2324" s="627" t="s">
        <v>1172</v>
      </c>
      <c r="F2324" s="631" t="s">
        <v>3236</v>
      </c>
      <c r="G2324" s="661">
        <v>250</v>
      </c>
      <c r="H2324" s="633">
        <v>2510</v>
      </c>
      <c r="I2324" s="618"/>
      <c r="J2324" s="619" t="s">
        <v>1172</v>
      </c>
      <c r="K2324" s="618"/>
      <c r="L2324" s="619">
        <v>93</v>
      </c>
      <c r="M2324" s="620">
        <v>88</v>
      </c>
      <c r="N2324" s="619"/>
      <c r="O2324" s="619">
        <v>17</v>
      </c>
      <c r="P2324" s="619" t="s">
        <v>760</v>
      </c>
      <c r="Q2324" s="662"/>
      <c r="R2324" s="618"/>
      <c r="S2324" s="621" t="s">
        <v>683</v>
      </c>
      <c r="T2324" s="619" t="s">
        <v>1079</v>
      </c>
    </row>
    <row r="2325" spans="1:20">
      <c r="A2325" s="630">
        <v>2602510</v>
      </c>
      <c r="B2325" s="623"/>
      <c r="C2325" s="623"/>
      <c r="D2325" s="623"/>
      <c r="E2325" s="627" t="s">
        <v>1174</v>
      </c>
      <c r="F2325" s="631" t="s">
        <v>3237</v>
      </c>
      <c r="G2325" s="661">
        <v>260</v>
      </c>
      <c r="H2325" s="633">
        <v>2510</v>
      </c>
      <c r="I2325" s="618"/>
      <c r="J2325" s="619" t="s">
        <v>1174</v>
      </c>
      <c r="K2325" s="618"/>
      <c r="L2325" s="619">
        <v>95</v>
      </c>
      <c r="M2325" s="620">
        <v>90</v>
      </c>
      <c r="N2325" s="619"/>
      <c r="O2325" s="619">
        <v>17</v>
      </c>
      <c r="P2325" s="619" t="s">
        <v>760</v>
      </c>
      <c r="Q2325" s="662"/>
      <c r="R2325" s="618"/>
      <c r="S2325" s="621" t="s">
        <v>683</v>
      </c>
      <c r="T2325" s="619" t="s">
        <v>1081</v>
      </c>
    </row>
    <row r="2326" spans="1:20">
      <c r="A2326" s="630">
        <v>2702510</v>
      </c>
      <c r="B2326" s="623"/>
      <c r="C2326" s="623"/>
      <c r="D2326" s="623"/>
      <c r="E2326" s="627" t="s">
        <v>1176</v>
      </c>
      <c r="F2326" s="631" t="s">
        <v>3238</v>
      </c>
      <c r="G2326" s="661">
        <v>270</v>
      </c>
      <c r="H2326" s="633">
        <v>2510</v>
      </c>
      <c r="I2326" s="618"/>
      <c r="J2326" s="619" t="s">
        <v>1176</v>
      </c>
      <c r="K2326" s="618"/>
      <c r="L2326" s="619">
        <v>94</v>
      </c>
      <c r="M2326" s="620">
        <v>89</v>
      </c>
      <c r="N2326" s="619"/>
      <c r="O2326" s="619">
        <v>17</v>
      </c>
      <c r="P2326" s="619" t="s">
        <v>760</v>
      </c>
      <c r="Q2326" s="662"/>
      <c r="R2326" s="618"/>
      <c r="S2326" s="621" t="s">
        <v>683</v>
      </c>
      <c r="T2326" s="619" t="s">
        <v>1083</v>
      </c>
    </row>
    <row r="2327" spans="1:20">
      <c r="A2327" s="630">
        <v>2812510</v>
      </c>
      <c r="B2327" s="623"/>
      <c r="C2327" s="623"/>
      <c r="D2327" s="623"/>
      <c r="E2327" s="627" t="s">
        <v>1178</v>
      </c>
      <c r="F2327" s="631" t="s">
        <v>3239</v>
      </c>
      <c r="G2327" s="661">
        <v>281</v>
      </c>
      <c r="H2327" s="633">
        <v>2510</v>
      </c>
      <c r="I2327" s="618"/>
      <c r="J2327" s="619" t="s">
        <v>1178</v>
      </c>
      <c r="K2327" s="618"/>
      <c r="L2327" s="619">
        <v>95</v>
      </c>
      <c r="M2327" s="620">
        <v>90</v>
      </c>
      <c r="N2327" s="619"/>
      <c r="O2327" s="619">
        <v>17</v>
      </c>
      <c r="P2327" s="619" t="s">
        <v>760</v>
      </c>
      <c r="Q2327" s="662"/>
      <c r="R2327" s="618"/>
      <c r="S2327" s="621" t="s">
        <v>683</v>
      </c>
      <c r="T2327" s="619" t="s">
        <v>1085</v>
      </c>
    </row>
    <row r="2328" spans="1:20">
      <c r="A2328" s="630">
        <v>2822510</v>
      </c>
      <c r="B2328" s="623"/>
      <c r="C2328" s="623"/>
      <c r="D2328" s="623"/>
      <c r="E2328" s="627" t="s">
        <v>1180</v>
      </c>
      <c r="F2328" s="631" t="s">
        <v>3240</v>
      </c>
      <c r="G2328" s="661">
        <v>282</v>
      </c>
      <c r="H2328" s="633">
        <v>2510</v>
      </c>
      <c r="I2328" s="618"/>
      <c r="J2328" s="619" t="s">
        <v>1180</v>
      </c>
      <c r="K2328" s="618"/>
      <c r="L2328" s="619">
        <v>95</v>
      </c>
      <c r="M2328" s="620">
        <v>90</v>
      </c>
      <c r="N2328" s="619"/>
      <c r="O2328" s="619">
        <v>17</v>
      </c>
      <c r="P2328" s="619" t="s">
        <v>760</v>
      </c>
      <c r="Q2328" s="662"/>
      <c r="R2328" s="618"/>
      <c r="S2328" s="621" t="s">
        <v>683</v>
      </c>
      <c r="T2328" s="619" t="s">
        <v>1087</v>
      </c>
    </row>
    <row r="2329" spans="1:20">
      <c r="A2329" s="630">
        <v>2902510</v>
      </c>
      <c r="B2329" s="623"/>
      <c r="C2329" s="623"/>
      <c r="D2329" s="623"/>
      <c r="E2329" s="627" t="s">
        <v>1182</v>
      </c>
      <c r="F2329" s="631" t="s">
        <v>3241</v>
      </c>
      <c r="G2329" s="661">
        <v>290</v>
      </c>
      <c r="H2329" s="633">
        <v>2510</v>
      </c>
      <c r="I2329" s="618"/>
      <c r="J2329" s="619" t="s">
        <v>1182</v>
      </c>
      <c r="K2329" s="618"/>
      <c r="L2329" s="619">
        <v>95</v>
      </c>
      <c r="M2329" s="620">
        <v>90</v>
      </c>
      <c r="N2329" s="619"/>
      <c r="O2329" s="619">
        <v>17</v>
      </c>
      <c r="P2329" s="619" t="s">
        <v>760</v>
      </c>
      <c r="Q2329" s="662"/>
      <c r="R2329" s="618"/>
      <c r="S2329" s="621" t="s">
        <v>683</v>
      </c>
      <c r="T2329" s="619" t="s">
        <v>1090</v>
      </c>
    </row>
    <row r="2330" spans="1:20">
      <c r="A2330" s="622"/>
      <c r="B2330" s="623"/>
      <c r="C2330" s="629">
        <v>71</v>
      </c>
      <c r="D2330" s="784" t="s">
        <v>3242</v>
      </c>
      <c r="E2330" s="775"/>
      <c r="F2330" s="626"/>
      <c r="G2330" s="623"/>
      <c r="H2330" s="627"/>
      <c r="I2330" s="618"/>
      <c r="J2330" s="618"/>
      <c r="K2330" s="618"/>
      <c r="L2330" s="618"/>
      <c r="M2330" s="618"/>
      <c r="N2330" s="618"/>
      <c r="O2330" s="618"/>
      <c r="P2330" s="618"/>
      <c r="Q2330" s="662"/>
      <c r="R2330" s="618"/>
      <c r="S2330" s="621"/>
      <c r="T2330" s="618"/>
    </row>
    <row r="2331" spans="1:20">
      <c r="A2331" s="622"/>
      <c r="B2331" s="623"/>
      <c r="C2331" s="623"/>
      <c r="D2331" s="623" t="s">
        <v>756</v>
      </c>
      <c r="E2331" s="627" t="s">
        <v>244</v>
      </c>
      <c r="F2331" s="626"/>
      <c r="G2331" s="623"/>
      <c r="H2331" s="627"/>
      <c r="I2331" s="618"/>
      <c r="J2331" s="618"/>
      <c r="K2331" s="618"/>
      <c r="L2331" s="618"/>
      <c r="M2331" s="618"/>
      <c r="N2331" s="618"/>
      <c r="O2331" s="618"/>
      <c r="P2331" s="618"/>
      <c r="Q2331" s="662"/>
      <c r="R2331" s="618"/>
      <c r="S2331" s="621"/>
      <c r="T2331" s="618"/>
    </row>
    <row r="2332" spans="1:20">
      <c r="A2332" s="630">
        <v>1112520</v>
      </c>
      <c r="B2332" s="623"/>
      <c r="C2332" s="623"/>
      <c r="D2332" s="623"/>
      <c r="E2332" s="627" t="s">
        <v>3243</v>
      </c>
      <c r="F2332" s="631" t="s">
        <v>3244</v>
      </c>
      <c r="G2332" s="661">
        <v>111</v>
      </c>
      <c r="H2332" s="633">
        <v>2520</v>
      </c>
      <c r="I2332" s="618"/>
      <c r="J2332" s="619" t="s">
        <v>3243</v>
      </c>
      <c r="K2332" s="618"/>
      <c r="L2332" s="619">
        <v>81</v>
      </c>
      <c r="M2332" s="620">
        <v>76</v>
      </c>
      <c r="N2332" s="619"/>
      <c r="O2332" s="619">
        <v>17</v>
      </c>
      <c r="P2332" s="619" t="s">
        <v>760</v>
      </c>
      <c r="Q2332" s="662"/>
      <c r="R2332" s="618"/>
      <c r="S2332" s="621" t="s">
        <v>3242</v>
      </c>
      <c r="T2332" s="619" t="s">
        <v>3245</v>
      </c>
    </row>
    <row r="2333" spans="1:20">
      <c r="A2333" s="630">
        <v>1142520</v>
      </c>
      <c r="B2333" s="623"/>
      <c r="C2333" s="623"/>
      <c r="D2333" s="623"/>
      <c r="E2333" s="627" t="s">
        <v>3196</v>
      </c>
      <c r="F2333" s="631" t="s">
        <v>3246</v>
      </c>
      <c r="G2333" s="661">
        <v>114</v>
      </c>
      <c r="H2333" s="633">
        <v>2520</v>
      </c>
      <c r="I2333" s="618"/>
      <c r="J2333" s="619" t="s">
        <v>3196</v>
      </c>
      <c r="K2333" s="618"/>
      <c r="L2333" s="619">
        <v>84</v>
      </c>
      <c r="M2333" s="620">
        <v>79</v>
      </c>
      <c r="N2333" s="619"/>
      <c r="O2333" s="619">
        <v>17</v>
      </c>
      <c r="P2333" s="619" t="s">
        <v>760</v>
      </c>
      <c r="Q2333" s="662"/>
      <c r="R2333" s="618"/>
      <c r="S2333" s="621" t="s">
        <v>3242</v>
      </c>
      <c r="T2333" s="619" t="s">
        <v>1853</v>
      </c>
    </row>
    <row r="2334" spans="1:20">
      <c r="A2334" s="630">
        <v>1002520</v>
      </c>
      <c r="B2334" s="623"/>
      <c r="C2334" s="623"/>
      <c r="D2334" s="623"/>
      <c r="E2334" s="627" t="s">
        <v>3247</v>
      </c>
      <c r="F2334" s="631" t="s">
        <v>3248</v>
      </c>
      <c r="G2334" s="661">
        <v>100</v>
      </c>
      <c r="H2334" s="633">
        <v>2520</v>
      </c>
      <c r="I2334" s="618"/>
      <c r="J2334" s="619" t="s">
        <v>3247</v>
      </c>
      <c r="K2334" s="618"/>
      <c r="L2334" s="619">
        <v>86</v>
      </c>
      <c r="M2334" s="620">
        <v>81</v>
      </c>
      <c r="N2334" s="619"/>
      <c r="O2334" s="619">
        <v>17</v>
      </c>
      <c r="P2334" s="619" t="s">
        <v>760</v>
      </c>
      <c r="Q2334" s="662"/>
      <c r="R2334" s="618"/>
      <c r="S2334" s="621" t="s">
        <v>3242</v>
      </c>
      <c r="T2334" s="619" t="s">
        <v>3249</v>
      </c>
    </row>
    <row r="2335" spans="1:20">
      <c r="A2335" s="630">
        <v>3002520</v>
      </c>
      <c r="B2335" s="623"/>
      <c r="C2335" s="623"/>
      <c r="D2335" s="623" t="s">
        <v>775</v>
      </c>
      <c r="E2335" s="627" t="s">
        <v>1112</v>
      </c>
      <c r="F2335" s="631" t="s">
        <v>3250</v>
      </c>
      <c r="G2335" s="661">
        <v>300</v>
      </c>
      <c r="H2335" s="633">
        <v>2520</v>
      </c>
      <c r="I2335" s="618"/>
      <c r="J2335" s="619" t="s">
        <v>1112</v>
      </c>
      <c r="K2335" s="618"/>
      <c r="L2335" s="619">
        <v>101</v>
      </c>
      <c r="M2335" s="620">
        <v>96</v>
      </c>
      <c r="N2335" s="619"/>
      <c r="O2335" s="619">
        <v>17</v>
      </c>
      <c r="P2335" s="619" t="s">
        <v>760</v>
      </c>
      <c r="Q2335" s="662"/>
      <c r="R2335" s="618"/>
      <c r="S2335" s="621" t="s">
        <v>3242</v>
      </c>
      <c r="T2335" s="619" t="s">
        <v>1112</v>
      </c>
    </row>
    <row r="2336" spans="1:20">
      <c r="A2336" s="622"/>
      <c r="B2336" s="623"/>
      <c r="C2336" s="623"/>
      <c r="D2336" s="623" t="s">
        <v>799</v>
      </c>
      <c r="E2336" s="627" t="s">
        <v>250</v>
      </c>
      <c r="F2336" s="626"/>
      <c r="G2336" s="623"/>
      <c r="H2336" s="627"/>
      <c r="I2336" s="618"/>
      <c r="J2336" s="618"/>
      <c r="K2336" s="618"/>
      <c r="L2336" s="618"/>
      <c r="M2336" s="618"/>
      <c r="N2336" s="618"/>
      <c r="O2336" s="618"/>
      <c r="P2336" s="618"/>
      <c r="Q2336" s="662"/>
      <c r="R2336" s="618"/>
      <c r="S2336" s="621"/>
      <c r="T2336" s="618"/>
    </row>
    <row r="2337" spans="1:20">
      <c r="A2337" s="630">
        <v>4302520</v>
      </c>
      <c r="B2337" s="623"/>
      <c r="C2337" s="623"/>
      <c r="D2337" s="623"/>
      <c r="E2337" s="627" t="s">
        <v>1114</v>
      </c>
      <c r="F2337" s="631" t="s">
        <v>3251</v>
      </c>
      <c r="G2337" s="661">
        <v>430</v>
      </c>
      <c r="H2337" s="633">
        <v>2520</v>
      </c>
      <c r="I2337" s="618"/>
      <c r="J2337" s="619" t="s">
        <v>1114</v>
      </c>
      <c r="K2337" s="618"/>
      <c r="L2337" s="619">
        <v>107</v>
      </c>
      <c r="M2337" s="620">
        <v>102</v>
      </c>
      <c r="N2337" s="619"/>
      <c r="O2337" s="619">
        <v>17</v>
      </c>
      <c r="P2337" s="619" t="s">
        <v>760</v>
      </c>
      <c r="Q2337" s="662"/>
      <c r="R2337" s="618"/>
      <c r="S2337" s="621" t="s">
        <v>3242</v>
      </c>
      <c r="T2337" s="619" t="s">
        <v>1021</v>
      </c>
    </row>
    <row r="2338" spans="1:20">
      <c r="A2338" s="630">
        <v>4422520</v>
      </c>
      <c r="B2338" s="623"/>
      <c r="C2338" s="623"/>
      <c r="D2338" s="623"/>
      <c r="E2338" s="627" t="s">
        <v>1381</v>
      </c>
      <c r="F2338" s="631" t="s">
        <v>3252</v>
      </c>
      <c r="G2338" s="661">
        <v>442</v>
      </c>
      <c r="H2338" s="633">
        <v>2520</v>
      </c>
      <c r="I2338" s="618"/>
      <c r="J2338" s="619" t="s">
        <v>1381</v>
      </c>
      <c r="K2338" s="618"/>
      <c r="L2338" s="619">
        <v>106</v>
      </c>
      <c r="M2338" s="620">
        <v>101</v>
      </c>
      <c r="N2338" s="619"/>
      <c r="O2338" s="619">
        <v>17</v>
      </c>
      <c r="P2338" s="619" t="s">
        <v>760</v>
      </c>
      <c r="Q2338" s="662"/>
      <c r="R2338" s="618"/>
      <c r="S2338" s="621" t="s">
        <v>3242</v>
      </c>
      <c r="T2338" s="619" t="s">
        <v>1383</v>
      </c>
    </row>
    <row r="2339" spans="1:20">
      <c r="A2339" s="630">
        <v>4002520</v>
      </c>
      <c r="B2339" s="623"/>
      <c r="C2339" s="623"/>
      <c r="D2339" s="623"/>
      <c r="E2339" s="627" t="s">
        <v>1118</v>
      </c>
      <c r="F2339" s="631" t="s">
        <v>3253</v>
      </c>
      <c r="G2339" s="661">
        <v>400</v>
      </c>
      <c r="H2339" s="633">
        <v>2520</v>
      </c>
      <c r="I2339" s="618"/>
      <c r="J2339" s="619" t="s">
        <v>1118</v>
      </c>
      <c r="K2339" s="618"/>
      <c r="L2339" s="619">
        <v>108</v>
      </c>
      <c r="M2339" s="620">
        <v>103</v>
      </c>
      <c r="N2339" s="619"/>
      <c r="O2339" s="619">
        <v>17</v>
      </c>
      <c r="P2339" s="619" t="s">
        <v>760</v>
      </c>
      <c r="Q2339" s="662"/>
      <c r="R2339" s="618"/>
      <c r="S2339" s="621" t="s">
        <v>3242</v>
      </c>
      <c r="T2339" s="619" t="s">
        <v>1025</v>
      </c>
    </row>
    <row r="2340" spans="1:20">
      <c r="A2340" s="622"/>
      <c r="B2340" s="623"/>
      <c r="C2340" s="623"/>
      <c r="D2340" s="623" t="s">
        <v>803</v>
      </c>
      <c r="E2340" s="627" t="s">
        <v>252</v>
      </c>
      <c r="F2340" s="626"/>
      <c r="G2340" s="623"/>
      <c r="H2340" s="627"/>
      <c r="I2340" s="618"/>
      <c r="J2340" s="618"/>
      <c r="K2340" s="618"/>
      <c r="L2340" s="618"/>
      <c r="M2340" s="618"/>
      <c r="N2340" s="618"/>
      <c r="O2340" s="618"/>
      <c r="P2340" s="618"/>
      <c r="Q2340" s="662"/>
      <c r="R2340" s="618"/>
      <c r="S2340" s="621"/>
      <c r="T2340" s="618"/>
    </row>
    <row r="2341" spans="1:20">
      <c r="A2341" s="630">
        <v>5302520</v>
      </c>
      <c r="B2341" s="623"/>
      <c r="C2341" s="623"/>
      <c r="D2341" s="623"/>
      <c r="E2341" s="627" t="s">
        <v>3104</v>
      </c>
      <c r="F2341" s="631" t="s">
        <v>3254</v>
      </c>
      <c r="G2341" s="661">
        <v>530</v>
      </c>
      <c r="H2341" s="633">
        <v>2520</v>
      </c>
      <c r="I2341" s="618"/>
      <c r="J2341" s="619" t="s">
        <v>3104</v>
      </c>
      <c r="K2341" s="618"/>
      <c r="L2341" s="619">
        <v>119</v>
      </c>
      <c r="M2341" s="620">
        <v>110</v>
      </c>
      <c r="N2341" s="619"/>
      <c r="O2341" s="619">
        <v>17</v>
      </c>
      <c r="P2341" s="619" t="s">
        <v>760</v>
      </c>
      <c r="Q2341" s="662"/>
      <c r="R2341" s="618"/>
      <c r="S2341" s="621" t="s">
        <v>3242</v>
      </c>
      <c r="T2341" s="619" t="s">
        <v>3019</v>
      </c>
    </row>
    <row r="2342" spans="1:20">
      <c r="A2342" s="630">
        <v>5402520</v>
      </c>
      <c r="B2342" s="623"/>
      <c r="C2342" s="623"/>
      <c r="D2342" s="623"/>
      <c r="E2342" s="627" t="s">
        <v>3213</v>
      </c>
      <c r="F2342" s="631" t="s">
        <v>3255</v>
      </c>
      <c r="G2342" s="661">
        <v>540</v>
      </c>
      <c r="H2342" s="633">
        <v>2520</v>
      </c>
      <c r="I2342" s="618"/>
      <c r="J2342" s="619" t="s">
        <v>3213</v>
      </c>
      <c r="K2342" s="618"/>
      <c r="L2342" s="619">
        <v>119</v>
      </c>
      <c r="M2342" s="620">
        <v>110</v>
      </c>
      <c r="N2342" s="619"/>
      <c r="O2342" s="619">
        <v>17</v>
      </c>
      <c r="P2342" s="619" t="s">
        <v>760</v>
      </c>
      <c r="Q2342" s="662"/>
      <c r="R2342" s="618"/>
      <c r="S2342" s="621" t="s">
        <v>3242</v>
      </c>
      <c r="T2342" s="619" t="s">
        <v>3215</v>
      </c>
    </row>
    <row r="2343" spans="1:20">
      <c r="A2343" s="630">
        <v>5822520</v>
      </c>
      <c r="B2343" s="623"/>
      <c r="C2343" s="623"/>
      <c r="D2343" s="623"/>
      <c r="E2343" s="627" t="s">
        <v>1392</v>
      </c>
      <c r="F2343" s="631" t="s">
        <v>3256</v>
      </c>
      <c r="G2343" s="661">
        <v>582</v>
      </c>
      <c r="H2343" s="633">
        <v>2520</v>
      </c>
      <c r="I2343" s="618"/>
      <c r="J2343" s="619" t="s">
        <v>1392</v>
      </c>
      <c r="K2343" s="618"/>
      <c r="L2343" s="619">
        <v>118</v>
      </c>
      <c r="M2343" s="620">
        <v>109</v>
      </c>
      <c r="N2343" s="619"/>
      <c r="O2343" s="619">
        <v>17</v>
      </c>
      <c r="P2343" s="619" t="s">
        <v>760</v>
      </c>
      <c r="Q2343" s="662"/>
      <c r="R2343" s="618"/>
      <c r="S2343" s="621" t="s">
        <v>3242</v>
      </c>
      <c r="T2343" s="619" t="s">
        <v>1037</v>
      </c>
    </row>
    <row r="2344" spans="1:20">
      <c r="A2344" s="630">
        <v>5002520</v>
      </c>
      <c r="B2344" s="623"/>
      <c r="C2344" s="623"/>
      <c r="D2344" s="623"/>
      <c r="E2344" s="627" t="s">
        <v>1394</v>
      </c>
      <c r="F2344" s="631" t="s">
        <v>3257</v>
      </c>
      <c r="G2344" s="661">
        <v>500</v>
      </c>
      <c r="H2344" s="633">
        <v>2520</v>
      </c>
      <c r="I2344" s="618"/>
      <c r="J2344" s="619" t="s">
        <v>1394</v>
      </c>
      <c r="K2344" s="618"/>
      <c r="L2344" s="619">
        <v>119</v>
      </c>
      <c r="M2344" s="620">
        <v>110</v>
      </c>
      <c r="N2344" s="619"/>
      <c r="O2344" s="619">
        <v>17</v>
      </c>
      <c r="P2344" s="619" t="s">
        <v>760</v>
      </c>
      <c r="Q2344" s="662"/>
      <c r="R2344" s="618"/>
      <c r="S2344" s="621" t="s">
        <v>3242</v>
      </c>
      <c r="T2344" s="619" t="s">
        <v>252</v>
      </c>
    </row>
    <row r="2345" spans="1:20">
      <c r="A2345" s="622"/>
      <c r="B2345" s="623"/>
      <c r="C2345" s="623"/>
      <c r="D2345" s="623" t="s">
        <v>848</v>
      </c>
      <c r="E2345" s="627" t="s">
        <v>254</v>
      </c>
      <c r="F2345" s="626"/>
      <c r="G2345" s="623"/>
      <c r="H2345" s="627"/>
      <c r="I2345" s="618"/>
      <c r="J2345" s="618"/>
      <c r="K2345" s="618"/>
      <c r="L2345" s="618"/>
      <c r="M2345" s="618"/>
      <c r="N2345" s="618"/>
      <c r="O2345" s="618"/>
      <c r="P2345" s="618"/>
      <c r="Q2345" s="662"/>
      <c r="R2345" s="618"/>
      <c r="S2345" s="621"/>
      <c r="T2345" s="618"/>
    </row>
    <row r="2346" spans="1:20">
      <c r="A2346" s="630">
        <v>6152520</v>
      </c>
      <c r="B2346" s="623"/>
      <c r="C2346" s="623"/>
      <c r="D2346" s="623"/>
      <c r="E2346" s="627" t="s">
        <v>1138</v>
      </c>
      <c r="F2346" s="631" t="s">
        <v>3258</v>
      </c>
      <c r="G2346" s="661">
        <v>615</v>
      </c>
      <c r="H2346" s="633">
        <v>2520</v>
      </c>
      <c r="I2346" s="618"/>
      <c r="J2346" s="619" t="s">
        <v>1138</v>
      </c>
      <c r="K2346" s="618"/>
      <c r="L2346" s="619">
        <v>126</v>
      </c>
      <c r="M2346" s="620">
        <v>117</v>
      </c>
      <c r="N2346" s="619"/>
      <c r="O2346" s="619">
        <v>17</v>
      </c>
      <c r="P2346" s="619" t="s">
        <v>760</v>
      </c>
      <c r="Q2346" s="662" t="s">
        <v>1043</v>
      </c>
      <c r="R2346" s="618"/>
      <c r="S2346" s="621" t="s">
        <v>3242</v>
      </c>
      <c r="T2346" s="619" t="s">
        <v>1041</v>
      </c>
    </row>
    <row r="2347" spans="1:20">
      <c r="A2347" s="630">
        <v>6102520</v>
      </c>
      <c r="B2347" s="623"/>
      <c r="C2347" s="623"/>
      <c r="D2347" s="623"/>
      <c r="E2347" s="627" t="s">
        <v>1140</v>
      </c>
      <c r="F2347" s="631" t="s">
        <v>3259</v>
      </c>
      <c r="G2347" s="661">
        <v>610</v>
      </c>
      <c r="H2347" s="633">
        <v>2520</v>
      </c>
      <c r="I2347" s="618"/>
      <c r="J2347" s="619" t="s">
        <v>1140</v>
      </c>
      <c r="K2347" s="618"/>
      <c r="L2347" s="619">
        <v>122</v>
      </c>
      <c r="M2347" s="620">
        <v>113</v>
      </c>
      <c r="N2347" s="619"/>
      <c r="O2347" s="619">
        <v>17</v>
      </c>
      <c r="P2347" s="619" t="s">
        <v>760</v>
      </c>
      <c r="Q2347" s="662" t="s">
        <v>1043</v>
      </c>
      <c r="R2347" s="618"/>
      <c r="S2347" s="621" t="s">
        <v>3242</v>
      </c>
      <c r="T2347" s="619" t="s">
        <v>39</v>
      </c>
    </row>
    <row r="2348" spans="1:20">
      <c r="A2348" s="630">
        <v>6002520</v>
      </c>
      <c r="B2348" s="623"/>
      <c r="C2348" s="623"/>
      <c r="D2348" s="623"/>
      <c r="E2348" s="627" t="s">
        <v>1869</v>
      </c>
      <c r="F2348" s="631" t="s">
        <v>3260</v>
      </c>
      <c r="G2348" s="661">
        <v>600</v>
      </c>
      <c r="H2348" s="633">
        <v>2520</v>
      </c>
      <c r="I2348" s="618"/>
      <c r="J2348" s="619" t="s">
        <v>1869</v>
      </c>
      <c r="K2348" s="618"/>
      <c r="L2348" s="619">
        <v>126</v>
      </c>
      <c r="M2348" s="620">
        <v>117</v>
      </c>
      <c r="N2348" s="619"/>
      <c r="O2348" s="619">
        <v>17</v>
      </c>
      <c r="P2348" s="619" t="s">
        <v>760</v>
      </c>
      <c r="Q2348" s="662"/>
      <c r="R2348" s="618"/>
      <c r="S2348" s="621" t="s">
        <v>3242</v>
      </c>
      <c r="T2348" s="619" t="s">
        <v>1048</v>
      </c>
    </row>
    <row r="2349" spans="1:20">
      <c r="A2349" s="622"/>
      <c r="B2349" s="623"/>
      <c r="C2349" s="623"/>
      <c r="D2349" s="623" t="s">
        <v>851</v>
      </c>
      <c r="E2349" s="627" t="s">
        <v>1050</v>
      </c>
      <c r="F2349" s="626"/>
      <c r="G2349" s="623"/>
      <c r="H2349" s="627"/>
      <c r="I2349" s="618"/>
      <c r="J2349" s="618"/>
      <c r="K2349" s="618"/>
      <c r="L2349" s="618"/>
      <c r="M2349" s="618"/>
      <c r="N2349" s="618"/>
      <c r="O2349" s="618"/>
      <c r="P2349" s="618"/>
      <c r="Q2349" s="662"/>
      <c r="R2349" s="618"/>
      <c r="S2349" s="621"/>
      <c r="T2349" s="618"/>
    </row>
    <row r="2350" spans="1:20">
      <c r="A2350" s="630">
        <v>7342520</v>
      </c>
      <c r="B2350" s="623"/>
      <c r="C2350" s="623"/>
      <c r="D2350" s="623"/>
      <c r="E2350" s="627" t="s">
        <v>1146</v>
      </c>
      <c r="F2350" s="631" t="s">
        <v>3261</v>
      </c>
      <c r="G2350" s="661">
        <v>734</v>
      </c>
      <c r="H2350" s="633">
        <v>2520</v>
      </c>
      <c r="I2350" s="618"/>
      <c r="J2350" s="619" t="s">
        <v>1146</v>
      </c>
      <c r="K2350" s="618"/>
      <c r="L2350" s="619">
        <v>131</v>
      </c>
      <c r="M2350" s="620">
        <v>122</v>
      </c>
      <c r="N2350" s="619"/>
      <c r="O2350" s="619">
        <v>17</v>
      </c>
      <c r="P2350" s="619" t="s">
        <v>760</v>
      </c>
      <c r="Q2350" s="662"/>
      <c r="R2350" s="618"/>
      <c r="S2350" s="621" t="s">
        <v>3242</v>
      </c>
      <c r="T2350" s="619" t="s">
        <v>1051</v>
      </c>
    </row>
    <row r="2351" spans="1:20">
      <c r="A2351" s="630">
        <v>7352520</v>
      </c>
      <c r="B2351" s="623"/>
      <c r="C2351" s="623"/>
      <c r="D2351" s="623"/>
      <c r="E2351" s="627" t="s">
        <v>1148</v>
      </c>
      <c r="F2351" s="631" t="s">
        <v>3262</v>
      </c>
      <c r="G2351" s="661">
        <v>735</v>
      </c>
      <c r="H2351" s="633">
        <v>2520</v>
      </c>
      <c r="I2351" s="618"/>
      <c r="J2351" s="619" t="s">
        <v>1148</v>
      </c>
      <c r="K2351" s="618"/>
      <c r="L2351" s="619">
        <v>131</v>
      </c>
      <c r="M2351" s="620">
        <v>122</v>
      </c>
      <c r="N2351" s="619"/>
      <c r="O2351" s="619">
        <v>17</v>
      </c>
      <c r="P2351" s="619" t="s">
        <v>760</v>
      </c>
      <c r="Q2351" s="662"/>
      <c r="R2351" s="618"/>
      <c r="S2351" s="621" t="s">
        <v>3242</v>
      </c>
      <c r="T2351" s="619" t="s">
        <v>1053</v>
      </c>
    </row>
    <row r="2352" spans="1:20">
      <c r="A2352" s="630">
        <v>7302520</v>
      </c>
      <c r="B2352" s="623"/>
      <c r="C2352" s="623"/>
      <c r="D2352" s="623"/>
      <c r="E2352" s="627" t="s">
        <v>1150</v>
      </c>
      <c r="F2352" s="631" t="s">
        <v>3263</v>
      </c>
      <c r="G2352" s="661">
        <v>730</v>
      </c>
      <c r="H2352" s="633">
        <v>2520</v>
      </c>
      <c r="I2352" s="618"/>
      <c r="J2352" s="619" t="s">
        <v>1150</v>
      </c>
      <c r="K2352" s="618"/>
      <c r="L2352" s="619">
        <v>131</v>
      </c>
      <c r="M2352" s="620">
        <v>122</v>
      </c>
      <c r="N2352" s="619"/>
      <c r="O2352" s="619">
        <v>17</v>
      </c>
      <c r="P2352" s="619" t="s">
        <v>760</v>
      </c>
      <c r="Q2352" s="662"/>
      <c r="R2352" s="618"/>
      <c r="S2352" s="621" t="s">
        <v>3242</v>
      </c>
      <c r="T2352" s="619" t="s">
        <v>1055</v>
      </c>
    </row>
    <row r="2353" spans="1:20">
      <c r="A2353" s="630">
        <v>7002520</v>
      </c>
      <c r="B2353" s="623"/>
      <c r="C2353" s="623"/>
      <c r="D2353" s="623"/>
      <c r="E2353" s="627" t="s">
        <v>1152</v>
      </c>
      <c r="F2353" s="631" t="s">
        <v>3264</v>
      </c>
      <c r="G2353" s="661">
        <v>700</v>
      </c>
      <c r="H2353" s="633">
        <v>2520</v>
      </c>
      <c r="I2353" s="618"/>
      <c r="J2353" s="619" t="s">
        <v>1152</v>
      </c>
      <c r="K2353" s="618"/>
      <c r="L2353" s="619">
        <v>132</v>
      </c>
      <c r="M2353" s="620">
        <v>123</v>
      </c>
      <c r="N2353" s="619"/>
      <c r="O2353" s="619">
        <v>17</v>
      </c>
      <c r="P2353" s="619" t="s">
        <v>760</v>
      </c>
      <c r="Q2353" s="662"/>
      <c r="R2353" s="618"/>
      <c r="S2353" s="621" t="s">
        <v>3242</v>
      </c>
      <c r="T2353" s="619" t="s">
        <v>1057</v>
      </c>
    </row>
    <row r="2354" spans="1:20">
      <c r="A2354" s="630">
        <v>8002520</v>
      </c>
      <c r="B2354" s="623"/>
      <c r="C2354" s="623"/>
      <c r="D2354" s="623" t="s">
        <v>854</v>
      </c>
      <c r="E2354" s="627" t="s">
        <v>3070</v>
      </c>
      <c r="F2354" s="631" t="s">
        <v>3265</v>
      </c>
      <c r="G2354" s="661">
        <v>800</v>
      </c>
      <c r="H2354" s="633">
        <v>2520</v>
      </c>
      <c r="I2354" s="618"/>
      <c r="J2354" s="619" t="s">
        <v>3070</v>
      </c>
      <c r="K2354" s="618"/>
      <c r="L2354" s="619">
        <v>139</v>
      </c>
      <c r="M2354" s="620">
        <v>129</v>
      </c>
      <c r="N2354" s="619"/>
      <c r="O2354" s="619">
        <v>17</v>
      </c>
      <c r="P2354" s="619" t="s">
        <v>760</v>
      </c>
      <c r="Q2354" s="662"/>
      <c r="R2354" s="618"/>
      <c r="S2354" s="621" t="s">
        <v>3242</v>
      </c>
      <c r="T2354" s="619" t="s">
        <v>3070</v>
      </c>
    </row>
    <row r="2355" spans="1:20">
      <c r="A2355" s="622"/>
      <c r="B2355" s="623"/>
      <c r="C2355" s="623"/>
      <c r="D2355" s="623" t="s">
        <v>857</v>
      </c>
      <c r="E2355" s="627" t="s">
        <v>1063</v>
      </c>
      <c r="F2355" s="626"/>
      <c r="G2355" s="623"/>
      <c r="H2355" s="627"/>
      <c r="I2355" s="618"/>
      <c r="J2355" s="618"/>
      <c r="K2355" s="618"/>
      <c r="L2355" s="618"/>
      <c r="M2355" s="618"/>
      <c r="N2355" s="618"/>
      <c r="O2355" s="618"/>
      <c r="P2355" s="618"/>
      <c r="Q2355" s="662"/>
      <c r="R2355" s="618"/>
      <c r="S2355" s="621"/>
      <c r="T2355" s="618"/>
    </row>
    <row r="2356" spans="1:20">
      <c r="A2356" s="630">
        <v>2102520</v>
      </c>
      <c r="B2356" s="623"/>
      <c r="C2356" s="623"/>
      <c r="D2356" s="623"/>
      <c r="E2356" s="627" t="s">
        <v>1158</v>
      </c>
      <c r="F2356" s="631" t="s">
        <v>3266</v>
      </c>
      <c r="G2356" s="661">
        <v>210</v>
      </c>
      <c r="H2356" s="633">
        <v>2520</v>
      </c>
      <c r="I2356" s="618"/>
      <c r="J2356" s="619" t="s">
        <v>1158</v>
      </c>
      <c r="K2356" s="618"/>
      <c r="L2356" s="619">
        <v>89</v>
      </c>
      <c r="M2356" s="620">
        <v>84</v>
      </c>
      <c r="N2356" s="619"/>
      <c r="O2356" s="619">
        <v>17</v>
      </c>
      <c r="P2356" s="619" t="s">
        <v>760</v>
      </c>
      <c r="Q2356" s="662"/>
      <c r="R2356" s="618"/>
      <c r="S2356" s="621" t="s">
        <v>3242</v>
      </c>
      <c r="T2356" s="619" t="s">
        <v>1064</v>
      </c>
    </row>
    <row r="2357" spans="1:20">
      <c r="A2357" s="630">
        <v>2202520</v>
      </c>
      <c r="B2357" s="623"/>
      <c r="C2357" s="623"/>
      <c r="D2357" s="623"/>
      <c r="E2357" s="627" t="s">
        <v>1160</v>
      </c>
      <c r="F2357" s="631" t="s">
        <v>3267</v>
      </c>
      <c r="G2357" s="661">
        <v>220</v>
      </c>
      <c r="H2357" s="633">
        <v>2520</v>
      </c>
      <c r="I2357" s="618"/>
      <c r="J2357" s="619" t="s">
        <v>1160</v>
      </c>
      <c r="K2357" s="618"/>
      <c r="L2357" s="619">
        <v>90</v>
      </c>
      <c r="M2357" s="620">
        <v>85</v>
      </c>
      <c r="N2357" s="619"/>
      <c r="O2357" s="619">
        <v>17</v>
      </c>
      <c r="P2357" s="619" t="s">
        <v>760</v>
      </c>
      <c r="Q2357" s="662"/>
      <c r="R2357" s="618"/>
      <c r="S2357" s="621" t="s">
        <v>3242</v>
      </c>
      <c r="T2357" s="619" t="s">
        <v>1066</v>
      </c>
    </row>
    <row r="2358" spans="1:20">
      <c r="A2358" s="630">
        <v>2252520</v>
      </c>
      <c r="B2358" s="623"/>
      <c r="C2358" s="623"/>
      <c r="D2358" s="623"/>
      <c r="E2358" s="627" t="s">
        <v>1162</v>
      </c>
      <c r="F2358" s="631" t="s">
        <v>3268</v>
      </c>
      <c r="G2358" s="661">
        <v>225</v>
      </c>
      <c r="H2358" s="633">
        <v>2520</v>
      </c>
      <c r="I2358" s="618"/>
      <c r="J2358" s="619" t="s">
        <v>1162</v>
      </c>
      <c r="K2358" s="618"/>
      <c r="L2358" s="619">
        <v>91</v>
      </c>
      <c r="M2358" s="620">
        <v>86</v>
      </c>
      <c r="N2358" s="619"/>
      <c r="O2358" s="619">
        <v>17</v>
      </c>
      <c r="P2358" s="619" t="s">
        <v>760</v>
      </c>
      <c r="Q2358" s="662"/>
      <c r="R2358" s="618"/>
      <c r="S2358" s="621" t="s">
        <v>3242</v>
      </c>
      <c r="T2358" s="619" t="s">
        <v>23</v>
      </c>
    </row>
    <row r="2359" spans="1:20">
      <c r="A2359" s="622"/>
      <c r="B2359" s="623"/>
      <c r="C2359" s="623"/>
      <c r="D2359" s="623"/>
      <c r="E2359" s="627" t="s">
        <v>1164</v>
      </c>
      <c r="F2359" s="626"/>
      <c r="G2359" s="623"/>
      <c r="H2359" s="627"/>
      <c r="I2359" s="618"/>
      <c r="J2359" s="618"/>
      <c r="K2359" s="618"/>
      <c r="L2359" s="618"/>
      <c r="M2359" s="618"/>
      <c r="N2359" s="618"/>
      <c r="O2359" s="618"/>
      <c r="P2359" s="618"/>
      <c r="Q2359" s="662"/>
      <c r="R2359" s="618"/>
      <c r="S2359" s="621"/>
      <c r="T2359" s="618"/>
    </row>
    <row r="2360" spans="1:20">
      <c r="A2360" s="630">
        <v>2312520</v>
      </c>
      <c r="B2360" s="623"/>
      <c r="C2360" s="623"/>
      <c r="D2360" s="623"/>
      <c r="E2360" s="627" t="s">
        <v>1165</v>
      </c>
      <c r="F2360" s="631" t="s">
        <v>3269</v>
      </c>
      <c r="G2360" s="661">
        <v>231</v>
      </c>
      <c r="H2360" s="633">
        <v>2520</v>
      </c>
      <c r="I2360" s="618"/>
      <c r="J2360" s="619" t="s">
        <v>1165</v>
      </c>
      <c r="K2360" s="618"/>
      <c r="L2360" s="619">
        <v>92</v>
      </c>
      <c r="M2360" s="620">
        <v>87</v>
      </c>
      <c r="N2360" s="619"/>
      <c r="O2360" s="619">
        <v>17</v>
      </c>
      <c r="P2360" s="619" t="s">
        <v>760</v>
      </c>
      <c r="Q2360" s="662"/>
      <c r="R2360" s="618"/>
      <c r="S2360" s="621" t="s">
        <v>3242</v>
      </c>
      <c r="T2360" s="619" t="s">
        <v>1072</v>
      </c>
    </row>
    <row r="2361" spans="1:20">
      <c r="A2361" s="630">
        <v>2332520</v>
      </c>
      <c r="B2361" s="623"/>
      <c r="C2361" s="623"/>
      <c r="D2361" s="623"/>
      <c r="E2361" s="627" t="s">
        <v>1167</v>
      </c>
      <c r="F2361" s="631" t="s">
        <v>3270</v>
      </c>
      <c r="G2361" s="661">
        <v>233</v>
      </c>
      <c r="H2361" s="633">
        <v>2520</v>
      </c>
      <c r="I2361" s="618"/>
      <c r="J2361" s="619" t="s">
        <v>1167</v>
      </c>
      <c r="K2361" s="618"/>
      <c r="L2361" s="619">
        <v>92</v>
      </c>
      <c r="M2361" s="620">
        <v>87</v>
      </c>
      <c r="N2361" s="619"/>
      <c r="O2361" s="619">
        <v>17</v>
      </c>
      <c r="P2361" s="619" t="s">
        <v>760</v>
      </c>
      <c r="Q2361" s="662"/>
      <c r="R2361" s="618"/>
      <c r="S2361" s="621" t="s">
        <v>3242</v>
      </c>
      <c r="T2361" s="619" t="s">
        <v>1169</v>
      </c>
    </row>
    <row r="2362" spans="1:20">
      <c r="A2362" s="630">
        <v>2392520</v>
      </c>
      <c r="B2362" s="623"/>
      <c r="C2362" s="623"/>
      <c r="D2362" s="623"/>
      <c r="E2362" s="627" t="s">
        <v>1170</v>
      </c>
      <c r="F2362" s="631" t="s">
        <v>3271</v>
      </c>
      <c r="G2362" s="661">
        <v>239</v>
      </c>
      <c r="H2362" s="633">
        <v>2520</v>
      </c>
      <c r="I2362" s="618"/>
      <c r="J2362" s="619" t="s">
        <v>1170</v>
      </c>
      <c r="K2362" s="618"/>
      <c r="L2362" s="619">
        <v>92</v>
      </c>
      <c r="M2362" s="620">
        <v>87</v>
      </c>
      <c r="N2362" s="619"/>
      <c r="O2362" s="619">
        <v>17</v>
      </c>
      <c r="P2362" s="619" t="s">
        <v>760</v>
      </c>
      <c r="Q2362" s="662"/>
      <c r="R2362" s="618"/>
      <c r="S2362" s="621" t="s">
        <v>3242</v>
      </c>
      <c r="T2362" s="619" t="s">
        <v>1078</v>
      </c>
    </row>
    <row r="2363" spans="1:20">
      <c r="A2363" s="630">
        <v>2502520</v>
      </c>
      <c r="B2363" s="623"/>
      <c r="C2363" s="623"/>
      <c r="D2363" s="623"/>
      <c r="E2363" s="627" t="s">
        <v>1172</v>
      </c>
      <c r="F2363" s="631" t="s">
        <v>3272</v>
      </c>
      <c r="G2363" s="661">
        <v>250</v>
      </c>
      <c r="H2363" s="633">
        <v>2520</v>
      </c>
      <c r="I2363" s="618"/>
      <c r="J2363" s="619" t="s">
        <v>1172</v>
      </c>
      <c r="K2363" s="618"/>
      <c r="L2363" s="619">
        <v>93</v>
      </c>
      <c r="M2363" s="620">
        <v>88</v>
      </c>
      <c r="N2363" s="619"/>
      <c r="O2363" s="619">
        <v>17</v>
      </c>
      <c r="P2363" s="619" t="s">
        <v>760</v>
      </c>
      <c r="Q2363" s="662"/>
      <c r="R2363" s="618"/>
      <c r="S2363" s="621" t="s">
        <v>3242</v>
      </c>
      <c r="T2363" s="619" t="s">
        <v>1079</v>
      </c>
    </row>
    <row r="2364" spans="1:20">
      <c r="A2364" s="630">
        <v>2602520</v>
      </c>
      <c r="B2364" s="623"/>
      <c r="C2364" s="623"/>
      <c r="D2364" s="623"/>
      <c r="E2364" s="627" t="s">
        <v>1174</v>
      </c>
      <c r="F2364" s="631" t="s">
        <v>3273</v>
      </c>
      <c r="G2364" s="661">
        <v>260</v>
      </c>
      <c r="H2364" s="633">
        <v>2520</v>
      </c>
      <c r="I2364" s="618"/>
      <c r="J2364" s="619" t="s">
        <v>1174</v>
      </c>
      <c r="K2364" s="618"/>
      <c r="L2364" s="619">
        <v>95</v>
      </c>
      <c r="M2364" s="620">
        <v>90</v>
      </c>
      <c r="N2364" s="619"/>
      <c r="O2364" s="619">
        <v>17</v>
      </c>
      <c r="P2364" s="619" t="s">
        <v>760</v>
      </c>
      <c r="Q2364" s="662"/>
      <c r="R2364" s="618"/>
      <c r="S2364" s="621" t="s">
        <v>3242</v>
      </c>
      <c r="T2364" s="619" t="s">
        <v>1081</v>
      </c>
    </row>
    <row r="2365" spans="1:20">
      <c r="A2365" s="630">
        <v>2702520</v>
      </c>
      <c r="B2365" s="623"/>
      <c r="C2365" s="623"/>
      <c r="D2365" s="623"/>
      <c r="E2365" s="627" t="s">
        <v>1176</v>
      </c>
      <c r="F2365" s="631" t="s">
        <v>3274</v>
      </c>
      <c r="G2365" s="661">
        <v>270</v>
      </c>
      <c r="H2365" s="633">
        <v>2520</v>
      </c>
      <c r="I2365" s="618"/>
      <c r="J2365" s="619" t="s">
        <v>1176</v>
      </c>
      <c r="K2365" s="618"/>
      <c r="L2365" s="619">
        <v>94</v>
      </c>
      <c r="M2365" s="620">
        <v>89</v>
      </c>
      <c r="N2365" s="619"/>
      <c r="O2365" s="619">
        <v>17</v>
      </c>
      <c r="P2365" s="619" t="s">
        <v>760</v>
      </c>
      <c r="Q2365" s="662"/>
      <c r="R2365" s="618"/>
      <c r="S2365" s="621" t="s">
        <v>3242</v>
      </c>
      <c r="T2365" s="619" t="s">
        <v>1083</v>
      </c>
    </row>
    <row r="2366" spans="1:20">
      <c r="A2366" s="630">
        <v>2812520</v>
      </c>
      <c r="B2366" s="623"/>
      <c r="C2366" s="623"/>
      <c r="D2366" s="623"/>
      <c r="E2366" s="627" t="s">
        <v>1178</v>
      </c>
      <c r="F2366" s="631" t="s">
        <v>3275</v>
      </c>
      <c r="G2366" s="661">
        <v>281</v>
      </c>
      <c r="H2366" s="633">
        <v>2520</v>
      </c>
      <c r="I2366" s="618"/>
      <c r="J2366" s="619" t="s">
        <v>1178</v>
      </c>
      <c r="K2366" s="618"/>
      <c r="L2366" s="619">
        <v>95</v>
      </c>
      <c r="M2366" s="620">
        <v>90</v>
      </c>
      <c r="N2366" s="619"/>
      <c r="O2366" s="619">
        <v>17</v>
      </c>
      <c r="P2366" s="619" t="s">
        <v>760</v>
      </c>
      <c r="Q2366" s="662"/>
      <c r="R2366" s="618"/>
      <c r="S2366" s="621" t="s">
        <v>3242</v>
      </c>
      <c r="T2366" s="619" t="s">
        <v>1085</v>
      </c>
    </row>
    <row r="2367" spans="1:20">
      <c r="A2367" s="630">
        <v>2822520</v>
      </c>
      <c r="B2367" s="623"/>
      <c r="C2367" s="623"/>
      <c r="D2367" s="623"/>
      <c r="E2367" s="627" t="s">
        <v>1180</v>
      </c>
      <c r="F2367" s="631" t="s">
        <v>3276</v>
      </c>
      <c r="G2367" s="661">
        <v>282</v>
      </c>
      <c r="H2367" s="633">
        <v>2520</v>
      </c>
      <c r="I2367" s="618"/>
      <c r="J2367" s="619" t="s">
        <v>1180</v>
      </c>
      <c r="K2367" s="618"/>
      <c r="L2367" s="619">
        <v>95</v>
      </c>
      <c r="M2367" s="620">
        <v>90</v>
      </c>
      <c r="N2367" s="619"/>
      <c r="O2367" s="619">
        <v>17</v>
      </c>
      <c r="P2367" s="619" t="s">
        <v>760</v>
      </c>
      <c r="Q2367" s="662"/>
      <c r="R2367" s="618"/>
      <c r="S2367" s="621" t="s">
        <v>3242</v>
      </c>
      <c r="T2367" s="619" t="s">
        <v>1087</v>
      </c>
    </row>
    <row r="2368" spans="1:20">
      <c r="A2368" s="630">
        <v>2902520</v>
      </c>
      <c r="B2368" s="623"/>
      <c r="C2368" s="623"/>
      <c r="D2368" s="623"/>
      <c r="E2368" s="627" t="s">
        <v>1182</v>
      </c>
      <c r="F2368" s="631" t="s">
        <v>3277</v>
      </c>
      <c r="G2368" s="661">
        <v>290</v>
      </c>
      <c r="H2368" s="633">
        <v>2520</v>
      </c>
      <c r="I2368" s="618"/>
      <c r="J2368" s="619" t="s">
        <v>1182</v>
      </c>
      <c r="K2368" s="618"/>
      <c r="L2368" s="619">
        <v>95</v>
      </c>
      <c r="M2368" s="620">
        <v>90</v>
      </c>
      <c r="N2368" s="619"/>
      <c r="O2368" s="619">
        <v>17</v>
      </c>
      <c r="P2368" s="619" t="s">
        <v>760</v>
      </c>
      <c r="Q2368" s="662"/>
      <c r="R2368" s="618"/>
      <c r="S2368" s="621" t="s">
        <v>3242</v>
      </c>
      <c r="T2368" s="619" t="s">
        <v>1090</v>
      </c>
    </row>
    <row r="2369" spans="1:20">
      <c r="A2369" s="622"/>
      <c r="B2369" s="623"/>
      <c r="C2369" s="629">
        <v>72</v>
      </c>
      <c r="D2369" s="784" t="s">
        <v>3278</v>
      </c>
      <c r="E2369" s="775"/>
      <c r="F2369" s="626"/>
      <c r="G2369" s="623"/>
      <c r="H2369" s="627"/>
      <c r="I2369" s="618"/>
      <c r="J2369" s="618"/>
      <c r="K2369" s="618"/>
      <c r="L2369" s="618"/>
      <c r="M2369" s="618"/>
      <c r="N2369" s="618"/>
      <c r="O2369" s="618"/>
      <c r="P2369" s="618"/>
      <c r="Q2369" s="662"/>
      <c r="R2369" s="618"/>
      <c r="S2369" s="621"/>
      <c r="T2369" s="618"/>
    </row>
    <row r="2370" spans="1:20">
      <c r="A2370" s="622"/>
      <c r="B2370" s="623"/>
      <c r="C2370" s="623"/>
      <c r="D2370" s="623" t="s">
        <v>756</v>
      </c>
      <c r="E2370" s="627" t="s">
        <v>244</v>
      </c>
      <c r="F2370" s="626"/>
      <c r="G2370" s="623"/>
      <c r="H2370" s="627"/>
      <c r="I2370" s="618"/>
      <c r="J2370" s="618"/>
      <c r="K2370" s="618"/>
      <c r="L2370" s="618"/>
      <c r="M2370" s="618"/>
      <c r="N2370" s="618"/>
      <c r="O2370" s="618"/>
      <c r="P2370" s="618"/>
      <c r="Q2370" s="662"/>
      <c r="R2370" s="618"/>
      <c r="S2370" s="621"/>
      <c r="T2370" s="618"/>
    </row>
    <row r="2371" spans="1:20">
      <c r="A2371" s="630">
        <v>1112530</v>
      </c>
      <c r="B2371" s="623"/>
      <c r="C2371" s="623"/>
      <c r="D2371" s="623"/>
      <c r="E2371" s="627" t="s">
        <v>1844</v>
      </c>
      <c r="F2371" s="631" t="s">
        <v>3279</v>
      </c>
      <c r="G2371" s="661">
        <v>111</v>
      </c>
      <c r="H2371" s="633">
        <v>2530</v>
      </c>
      <c r="I2371" s="618"/>
      <c r="J2371" s="619" t="s">
        <v>1844</v>
      </c>
      <c r="K2371" s="618"/>
      <c r="L2371" s="619">
        <v>81</v>
      </c>
      <c r="M2371" s="620">
        <v>76</v>
      </c>
      <c r="N2371" s="619"/>
      <c r="O2371" s="619">
        <v>17</v>
      </c>
      <c r="P2371" s="619" t="s">
        <v>760</v>
      </c>
      <c r="Q2371" s="662"/>
      <c r="R2371" s="618"/>
      <c r="S2371" s="621" t="s">
        <v>3278</v>
      </c>
      <c r="T2371" s="619" t="s">
        <v>1847</v>
      </c>
    </row>
    <row r="2372" spans="1:20">
      <c r="A2372" s="630">
        <v>1142530</v>
      </c>
      <c r="B2372" s="623"/>
      <c r="C2372" s="623"/>
      <c r="D2372" s="623"/>
      <c r="E2372" s="627" t="s">
        <v>3196</v>
      </c>
      <c r="F2372" s="631" t="s">
        <v>3280</v>
      </c>
      <c r="G2372" s="661">
        <v>114</v>
      </c>
      <c r="H2372" s="633">
        <v>2530</v>
      </c>
      <c r="I2372" s="618"/>
      <c r="J2372" s="619" t="s">
        <v>3196</v>
      </c>
      <c r="K2372" s="618"/>
      <c r="L2372" s="619">
        <v>84</v>
      </c>
      <c r="M2372" s="620">
        <v>79</v>
      </c>
      <c r="N2372" s="619"/>
      <c r="O2372" s="619">
        <v>17</v>
      </c>
      <c r="P2372" s="619" t="s">
        <v>760</v>
      </c>
      <c r="Q2372" s="662"/>
      <c r="R2372" s="618"/>
      <c r="S2372" s="621" t="s">
        <v>3278</v>
      </c>
      <c r="T2372" s="619" t="s">
        <v>1853</v>
      </c>
    </row>
    <row r="2373" spans="1:20">
      <c r="A2373" s="630">
        <v>1002530</v>
      </c>
      <c r="B2373" s="623"/>
      <c r="C2373" s="623"/>
      <c r="D2373" s="623"/>
      <c r="E2373" s="627" t="s">
        <v>3281</v>
      </c>
      <c r="F2373" s="631" t="s">
        <v>3282</v>
      </c>
      <c r="G2373" s="661">
        <v>100</v>
      </c>
      <c r="H2373" s="633">
        <v>2530</v>
      </c>
      <c r="I2373" s="618"/>
      <c r="J2373" s="619" t="s">
        <v>3281</v>
      </c>
      <c r="K2373" s="618"/>
      <c r="L2373" s="619">
        <v>86</v>
      </c>
      <c r="M2373" s="620">
        <v>81</v>
      </c>
      <c r="N2373" s="619"/>
      <c r="O2373" s="619">
        <v>17</v>
      </c>
      <c r="P2373" s="619" t="s">
        <v>760</v>
      </c>
      <c r="Q2373" s="662"/>
      <c r="R2373" s="618"/>
      <c r="S2373" s="621" t="s">
        <v>3278</v>
      </c>
      <c r="T2373" s="619" t="s">
        <v>3283</v>
      </c>
    </row>
    <row r="2374" spans="1:20">
      <c r="A2374" s="630">
        <v>3002530</v>
      </c>
      <c r="B2374" s="623"/>
      <c r="C2374" s="623"/>
      <c r="D2374" s="623" t="s">
        <v>775</v>
      </c>
      <c r="E2374" s="627" t="s">
        <v>1112</v>
      </c>
      <c r="F2374" s="631" t="s">
        <v>3284</v>
      </c>
      <c r="G2374" s="661">
        <v>300</v>
      </c>
      <c r="H2374" s="633">
        <v>2530</v>
      </c>
      <c r="I2374" s="618"/>
      <c r="J2374" s="619" t="s">
        <v>1112</v>
      </c>
      <c r="K2374" s="618"/>
      <c r="L2374" s="619">
        <v>101</v>
      </c>
      <c r="M2374" s="620">
        <v>96</v>
      </c>
      <c r="N2374" s="619"/>
      <c r="O2374" s="619">
        <v>17</v>
      </c>
      <c r="P2374" s="619" t="s">
        <v>760</v>
      </c>
      <c r="Q2374" s="662"/>
      <c r="R2374" s="618"/>
      <c r="S2374" s="621" t="s">
        <v>3278</v>
      </c>
      <c r="T2374" s="619" t="s">
        <v>1112</v>
      </c>
    </row>
    <row r="2375" spans="1:20">
      <c r="A2375" s="622"/>
      <c r="B2375" s="623"/>
      <c r="C2375" s="623"/>
      <c r="D2375" s="623" t="s">
        <v>799</v>
      </c>
      <c r="E2375" s="627" t="s">
        <v>250</v>
      </c>
      <c r="F2375" s="626"/>
      <c r="G2375" s="623"/>
      <c r="H2375" s="627"/>
      <c r="I2375" s="618"/>
      <c r="J2375" s="618"/>
      <c r="K2375" s="618"/>
      <c r="L2375" s="618"/>
      <c r="M2375" s="618"/>
      <c r="N2375" s="618"/>
      <c r="O2375" s="618"/>
      <c r="P2375" s="618"/>
      <c r="Q2375" s="662"/>
      <c r="R2375" s="618"/>
      <c r="S2375" s="621"/>
      <c r="T2375" s="618"/>
    </row>
    <row r="2376" spans="1:20">
      <c r="A2376" s="630">
        <v>4302530</v>
      </c>
      <c r="B2376" s="623"/>
      <c r="C2376" s="623"/>
      <c r="D2376" s="623"/>
      <c r="E2376" s="627" t="s">
        <v>1114</v>
      </c>
      <c r="F2376" s="631" t="s">
        <v>3285</v>
      </c>
      <c r="G2376" s="661">
        <v>430</v>
      </c>
      <c r="H2376" s="633">
        <v>2530</v>
      </c>
      <c r="I2376" s="618"/>
      <c r="J2376" s="619" t="s">
        <v>1114</v>
      </c>
      <c r="K2376" s="618"/>
      <c r="L2376" s="619">
        <v>107</v>
      </c>
      <c r="M2376" s="620">
        <v>102</v>
      </c>
      <c r="N2376" s="619"/>
      <c r="O2376" s="619">
        <v>17</v>
      </c>
      <c r="P2376" s="619" t="s">
        <v>760</v>
      </c>
      <c r="Q2376" s="662"/>
      <c r="R2376" s="618"/>
      <c r="S2376" s="621" t="s">
        <v>3278</v>
      </c>
      <c r="T2376" s="619" t="s">
        <v>1021</v>
      </c>
    </row>
    <row r="2377" spans="1:20">
      <c r="A2377" s="630">
        <v>4422530</v>
      </c>
      <c r="B2377" s="623"/>
      <c r="C2377" s="623"/>
      <c r="D2377" s="623"/>
      <c r="E2377" s="627" t="s">
        <v>1381</v>
      </c>
      <c r="F2377" s="631" t="s">
        <v>3286</v>
      </c>
      <c r="G2377" s="661">
        <v>442</v>
      </c>
      <c r="H2377" s="633">
        <v>2530</v>
      </c>
      <c r="I2377" s="618"/>
      <c r="J2377" s="619" t="s">
        <v>1381</v>
      </c>
      <c r="K2377" s="618"/>
      <c r="L2377" s="619">
        <v>106</v>
      </c>
      <c r="M2377" s="620">
        <v>101</v>
      </c>
      <c r="N2377" s="619"/>
      <c r="O2377" s="619">
        <v>17</v>
      </c>
      <c r="P2377" s="619" t="s">
        <v>760</v>
      </c>
      <c r="Q2377" s="662"/>
      <c r="R2377" s="618"/>
      <c r="S2377" s="621" t="s">
        <v>3278</v>
      </c>
      <c r="T2377" s="619" t="s">
        <v>1383</v>
      </c>
    </row>
    <row r="2378" spans="1:20">
      <c r="A2378" s="630">
        <v>4002530</v>
      </c>
      <c r="B2378" s="623"/>
      <c r="C2378" s="623"/>
      <c r="D2378" s="623"/>
      <c r="E2378" s="627" t="s">
        <v>1118</v>
      </c>
      <c r="F2378" s="631" t="s">
        <v>3287</v>
      </c>
      <c r="G2378" s="661">
        <v>400</v>
      </c>
      <c r="H2378" s="633">
        <v>2530</v>
      </c>
      <c r="I2378" s="618"/>
      <c r="J2378" s="619" t="s">
        <v>1118</v>
      </c>
      <c r="K2378" s="618"/>
      <c r="L2378" s="619">
        <v>108</v>
      </c>
      <c r="M2378" s="620">
        <v>103</v>
      </c>
      <c r="N2378" s="619"/>
      <c r="O2378" s="619">
        <v>17</v>
      </c>
      <c r="P2378" s="619" t="s">
        <v>760</v>
      </c>
      <c r="Q2378" s="662"/>
      <c r="R2378" s="618"/>
      <c r="S2378" s="621" t="s">
        <v>3278</v>
      </c>
      <c r="T2378" s="619" t="s">
        <v>1025</v>
      </c>
    </row>
    <row r="2379" spans="1:20">
      <c r="A2379" s="622"/>
      <c r="B2379" s="623"/>
      <c r="C2379" s="623"/>
      <c r="D2379" s="623" t="s">
        <v>803</v>
      </c>
      <c r="E2379" s="627" t="s">
        <v>252</v>
      </c>
      <c r="F2379" s="626"/>
      <c r="G2379" s="623"/>
      <c r="H2379" s="627"/>
      <c r="I2379" s="618"/>
      <c r="J2379" s="618"/>
      <c r="K2379" s="618"/>
      <c r="L2379" s="618"/>
      <c r="M2379" s="618"/>
      <c r="N2379" s="618"/>
      <c r="O2379" s="618"/>
      <c r="P2379" s="618"/>
      <c r="Q2379" s="662"/>
      <c r="R2379" s="618"/>
      <c r="S2379" s="621"/>
      <c r="T2379" s="618"/>
    </row>
    <row r="2380" spans="1:20">
      <c r="A2380" s="630">
        <v>5822530</v>
      </c>
      <c r="B2380" s="623"/>
      <c r="C2380" s="623"/>
      <c r="D2380" s="623"/>
      <c r="E2380" s="627" t="s">
        <v>1863</v>
      </c>
      <c r="F2380" s="631" t="s">
        <v>3288</v>
      </c>
      <c r="G2380" s="661">
        <v>582</v>
      </c>
      <c r="H2380" s="633">
        <v>2530</v>
      </c>
      <c r="I2380" s="618"/>
      <c r="J2380" s="619" t="s">
        <v>1863</v>
      </c>
      <c r="K2380" s="618"/>
      <c r="L2380" s="619">
        <v>118</v>
      </c>
      <c r="M2380" s="620">
        <v>109</v>
      </c>
      <c r="N2380" s="619"/>
      <c r="O2380" s="619">
        <v>17</v>
      </c>
      <c r="P2380" s="619" t="s">
        <v>760</v>
      </c>
      <c r="Q2380" s="662"/>
      <c r="R2380" s="618"/>
      <c r="S2380" s="621" t="s">
        <v>3278</v>
      </c>
      <c r="T2380" s="619" t="s">
        <v>1037</v>
      </c>
    </row>
    <row r="2381" spans="1:20">
      <c r="A2381" s="630">
        <v>5002530</v>
      </c>
      <c r="B2381" s="623"/>
      <c r="C2381" s="623"/>
      <c r="D2381" s="623"/>
      <c r="E2381" s="627" t="s">
        <v>1865</v>
      </c>
      <c r="F2381" s="631" t="s">
        <v>3289</v>
      </c>
      <c r="G2381" s="661">
        <v>500</v>
      </c>
      <c r="H2381" s="633">
        <v>2530</v>
      </c>
      <c r="I2381" s="618"/>
      <c r="J2381" s="619" t="s">
        <v>1865</v>
      </c>
      <c r="K2381" s="618"/>
      <c r="L2381" s="619">
        <v>119</v>
      </c>
      <c r="M2381" s="620">
        <v>110</v>
      </c>
      <c r="N2381" s="619"/>
      <c r="O2381" s="619">
        <v>17</v>
      </c>
      <c r="P2381" s="619" t="s">
        <v>760</v>
      </c>
      <c r="Q2381" s="662"/>
      <c r="R2381" s="618"/>
      <c r="S2381" s="621" t="s">
        <v>3278</v>
      </c>
      <c r="T2381" s="619" t="s">
        <v>252</v>
      </c>
    </row>
    <row r="2382" spans="1:20">
      <c r="A2382" s="622"/>
      <c r="B2382" s="623"/>
      <c r="C2382" s="623"/>
      <c r="D2382" s="623" t="s">
        <v>848</v>
      </c>
      <c r="E2382" s="627" t="s">
        <v>254</v>
      </c>
      <c r="F2382" s="626"/>
      <c r="G2382" s="623"/>
      <c r="H2382" s="627"/>
      <c r="I2382" s="618"/>
      <c r="J2382" s="618"/>
      <c r="K2382" s="618"/>
      <c r="L2382" s="618"/>
      <c r="M2382" s="618"/>
      <c r="N2382" s="618"/>
      <c r="O2382" s="618"/>
      <c r="P2382" s="618"/>
      <c r="Q2382" s="662"/>
      <c r="R2382" s="618"/>
      <c r="S2382" s="621"/>
      <c r="T2382" s="618"/>
    </row>
    <row r="2383" spans="1:20">
      <c r="A2383" s="630">
        <v>6152530</v>
      </c>
      <c r="B2383" s="623"/>
      <c r="C2383" s="623"/>
      <c r="D2383" s="623"/>
      <c r="E2383" s="627" t="s">
        <v>1138</v>
      </c>
      <c r="F2383" s="631" t="s">
        <v>3290</v>
      </c>
      <c r="G2383" s="661">
        <v>615</v>
      </c>
      <c r="H2383" s="633">
        <v>2530</v>
      </c>
      <c r="I2383" s="618"/>
      <c r="J2383" s="619" t="s">
        <v>1138</v>
      </c>
      <c r="K2383" s="618"/>
      <c r="L2383" s="619">
        <v>126</v>
      </c>
      <c r="M2383" s="620">
        <v>117</v>
      </c>
      <c r="N2383" s="619"/>
      <c r="O2383" s="619">
        <v>17</v>
      </c>
      <c r="P2383" s="619" t="s">
        <v>760</v>
      </c>
      <c r="Q2383" s="662" t="s">
        <v>1043</v>
      </c>
      <c r="R2383" s="618"/>
      <c r="S2383" s="621" t="s">
        <v>3278</v>
      </c>
      <c r="T2383" s="619" t="s">
        <v>1041</v>
      </c>
    </row>
    <row r="2384" spans="1:20">
      <c r="A2384" s="630">
        <v>6102530</v>
      </c>
      <c r="B2384" s="623"/>
      <c r="C2384" s="623"/>
      <c r="D2384" s="623"/>
      <c r="E2384" s="627" t="s">
        <v>1140</v>
      </c>
      <c r="F2384" s="631" t="s">
        <v>3291</v>
      </c>
      <c r="G2384" s="661">
        <v>610</v>
      </c>
      <c r="H2384" s="633">
        <v>2530</v>
      </c>
      <c r="I2384" s="618"/>
      <c r="J2384" s="619" t="s">
        <v>1140</v>
      </c>
      <c r="K2384" s="618"/>
      <c r="L2384" s="619">
        <v>122</v>
      </c>
      <c r="M2384" s="620">
        <v>113</v>
      </c>
      <c r="N2384" s="619"/>
      <c r="O2384" s="619">
        <v>17</v>
      </c>
      <c r="P2384" s="619" t="s">
        <v>760</v>
      </c>
      <c r="Q2384" s="662" t="s">
        <v>1043</v>
      </c>
      <c r="R2384" s="618"/>
      <c r="S2384" s="621" t="s">
        <v>3278</v>
      </c>
      <c r="T2384" s="619" t="s">
        <v>39</v>
      </c>
    </row>
    <row r="2385" spans="1:20">
      <c r="A2385" s="630">
        <v>6002530</v>
      </c>
      <c r="B2385" s="623"/>
      <c r="C2385" s="623"/>
      <c r="D2385" s="623"/>
      <c r="E2385" s="627" t="s">
        <v>1869</v>
      </c>
      <c r="F2385" s="631" t="s">
        <v>3292</v>
      </c>
      <c r="G2385" s="661">
        <v>600</v>
      </c>
      <c r="H2385" s="633">
        <v>2530</v>
      </c>
      <c r="I2385" s="618"/>
      <c r="J2385" s="619" t="s">
        <v>1869</v>
      </c>
      <c r="K2385" s="618"/>
      <c r="L2385" s="619">
        <v>126</v>
      </c>
      <c r="M2385" s="620">
        <v>117</v>
      </c>
      <c r="N2385" s="619"/>
      <c r="O2385" s="619">
        <v>17</v>
      </c>
      <c r="P2385" s="619" t="s">
        <v>760</v>
      </c>
      <c r="Q2385" s="662"/>
      <c r="R2385" s="618"/>
      <c r="S2385" s="621" t="s">
        <v>3278</v>
      </c>
      <c r="T2385" s="619" t="s">
        <v>1048</v>
      </c>
    </row>
    <row r="2386" spans="1:20">
      <c r="A2386" s="622"/>
      <c r="B2386" s="623"/>
      <c r="C2386" s="623"/>
      <c r="D2386" s="623" t="s">
        <v>851</v>
      </c>
      <c r="E2386" s="627" t="s">
        <v>1050</v>
      </c>
      <c r="F2386" s="626"/>
      <c r="G2386" s="623"/>
      <c r="H2386" s="627"/>
      <c r="I2386" s="618"/>
      <c r="J2386" s="618"/>
      <c r="K2386" s="618"/>
      <c r="L2386" s="618"/>
      <c r="M2386" s="618"/>
      <c r="N2386" s="618"/>
      <c r="O2386" s="618"/>
      <c r="P2386" s="618"/>
      <c r="Q2386" s="662"/>
      <c r="R2386" s="618"/>
      <c r="S2386" s="621"/>
      <c r="T2386" s="618"/>
    </row>
    <row r="2387" spans="1:20">
      <c r="A2387" s="630">
        <v>7342530</v>
      </c>
      <c r="B2387" s="623"/>
      <c r="C2387" s="623"/>
      <c r="D2387" s="623"/>
      <c r="E2387" s="627" t="s">
        <v>1146</v>
      </c>
      <c r="F2387" s="631" t="s">
        <v>3293</v>
      </c>
      <c r="G2387" s="661">
        <v>734</v>
      </c>
      <c r="H2387" s="633">
        <v>2530</v>
      </c>
      <c r="I2387" s="618"/>
      <c r="J2387" s="619" t="s">
        <v>1146</v>
      </c>
      <c r="K2387" s="618"/>
      <c r="L2387" s="619">
        <v>131</v>
      </c>
      <c r="M2387" s="620">
        <v>122</v>
      </c>
      <c r="N2387" s="619"/>
      <c r="O2387" s="619">
        <v>17</v>
      </c>
      <c r="P2387" s="619" t="s">
        <v>760</v>
      </c>
      <c r="Q2387" s="662"/>
      <c r="R2387" s="618"/>
      <c r="S2387" s="621" t="s">
        <v>3278</v>
      </c>
      <c r="T2387" s="619" t="s">
        <v>1051</v>
      </c>
    </row>
    <row r="2388" spans="1:20">
      <c r="A2388" s="630">
        <v>7352530</v>
      </c>
      <c r="B2388" s="623"/>
      <c r="C2388" s="623"/>
      <c r="D2388" s="623"/>
      <c r="E2388" s="627" t="s">
        <v>1148</v>
      </c>
      <c r="F2388" s="631" t="s">
        <v>3294</v>
      </c>
      <c r="G2388" s="661">
        <v>735</v>
      </c>
      <c r="H2388" s="633">
        <v>2530</v>
      </c>
      <c r="I2388" s="618"/>
      <c r="J2388" s="619" t="s">
        <v>1148</v>
      </c>
      <c r="K2388" s="618"/>
      <c r="L2388" s="619">
        <v>131</v>
      </c>
      <c r="M2388" s="620">
        <v>122</v>
      </c>
      <c r="N2388" s="619"/>
      <c r="O2388" s="619">
        <v>17</v>
      </c>
      <c r="P2388" s="619" t="s">
        <v>760</v>
      </c>
      <c r="Q2388" s="662"/>
      <c r="R2388" s="618"/>
      <c r="S2388" s="621" t="s">
        <v>3278</v>
      </c>
      <c r="T2388" s="619" t="s">
        <v>1053</v>
      </c>
    </row>
    <row r="2389" spans="1:20">
      <c r="A2389" s="630">
        <v>7302530</v>
      </c>
      <c r="B2389" s="623"/>
      <c r="C2389" s="623"/>
      <c r="D2389" s="623"/>
      <c r="E2389" s="627" t="s">
        <v>3125</v>
      </c>
      <c r="F2389" s="631" t="s">
        <v>3295</v>
      </c>
      <c r="G2389" s="661">
        <v>730</v>
      </c>
      <c r="H2389" s="633">
        <v>2530</v>
      </c>
      <c r="I2389" s="618"/>
      <c r="J2389" s="619" t="s">
        <v>3125</v>
      </c>
      <c r="K2389" s="618"/>
      <c r="L2389" s="619">
        <v>131</v>
      </c>
      <c r="M2389" s="620">
        <v>122</v>
      </c>
      <c r="N2389" s="619"/>
      <c r="O2389" s="619">
        <v>17</v>
      </c>
      <c r="P2389" s="619" t="s">
        <v>760</v>
      </c>
      <c r="Q2389" s="662"/>
      <c r="R2389" s="618"/>
      <c r="S2389" s="621" t="s">
        <v>3278</v>
      </c>
      <c r="T2389" s="619" t="s">
        <v>1055</v>
      </c>
    </row>
    <row r="2390" spans="1:20">
      <c r="A2390" s="630">
        <v>7002530</v>
      </c>
      <c r="B2390" s="623"/>
      <c r="C2390" s="623"/>
      <c r="D2390" s="623"/>
      <c r="E2390" s="627" t="s">
        <v>1152</v>
      </c>
      <c r="F2390" s="631" t="s">
        <v>3296</v>
      </c>
      <c r="G2390" s="661">
        <v>700</v>
      </c>
      <c r="H2390" s="633">
        <v>2530</v>
      </c>
      <c r="I2390" s="618"/>
      <c r="J2390" s="619" t="s">
        <v>1152</v>
      </c>
      <c r="K2390" s="618"/>
      <c r="L2390" s="619">
        <v>132</v>
      </c>
      <c r="M2390" s="620">
        <v>123</v>
      </c>
      <c r="N2390" s="619"/>
      <c r="O2390" s="619">
        <v>17</v>
      </c>
      <c r="P2390" s="619" t="s">
        <v>760</v>
      </c>
      <c r="Q2390" s="662"/>
      <c r="R2390" s="618"/>
      <c r="S2390" s="621" t="s">
        <v>3278</v>
      </c>
      <c r="T2390" s="619" t="s">
        <v>1057</v>
      </c>
    </row>
    <row r="2391" spans="1:20">
      <c r="A2391" s="630">
        <v>8002530</v>
      </c>
      <c r="B2391" s="623"/>
      <c r="C2391" s="623"/>
      <c r="D2391" s="623" t="s">
        <v>854</v>
      </c>
      <c r="E2391" s="627" t="s">
        <v>3070</v>
      </c>
      <c r="F2391" s="631" t="s">
        <v>3297</v>
      </c>
      <c r="G2391" s="661">
        <v>800</v>
      </c>
      <c r="H2391" s="633">
        <v>2530</v>
      </c>
      <c r="I2391" s="618"/>
      <c r="J2391" s="619" t="s">
        <v>3070</v>
      </c>
      <c r="K2391" s="618"/>
      <c r="L2391" s="619">
        <v>139</v>
      </c>
      <c r="M2391" s="620">
        <v>129</v>
      </c>
      <c r="N2391" s="619"/>
      <c r="O2391" s="619">
        <v>17</v>
      </c>
      <c r="P2391" s="619" t="s">
        <v>760</v>
      </c>
      <c r="Q2391" s="662"/>
      <c r="R2391" s="618"/>
      <c r="S2391" s="621" t="s">
        <v>3278</v>
      </c>
      <c r="T2391" s="619" t="s">
        <v>3070</v>
      </c>
    </row>
    <row r="2392" spans="1:20">
      <c r="A2392" s="622"/>
      <c r="B2392" s="623"/>
      <c r="C2392" s="623"/>
      <c r="D2392" s="623" t="s">
        <v>857</v>
      </c>
      <c r="E2392" s="627" t="s">
        <v>1063</v>
      </c>
      <c r="F2392" s="626"/>
      <c r="G2392" s="623"/>
      <c r="H2392" s="627"/>
      <c r="I2392" s="618"/>
      <c r="J2392" s="618"/>
      <c r="K2392" s="618"/>
      <c r="L2392" s="618"/>
      <c r="M2392" s="618"/>
      <c r="N2392" s="618"/>
      <c r="O2392" s="618"/>
      <c r="P2392" s="618"/>
      <c r="Q2392" s="662"/>
      <c r="R2392" s="618"/>
      <c r="S2392" s="621"/>
      <c r="T2392" s="618"/>
    </row>
    <row r="2393" spans="1:20">
      <c r="A2393" s="630">
        <v>2102530</v>
      </c>
      <c r="B2393" s="623"/>
      <c r="C2393" s="623"/>
      <c r="D2393" s="623"/>
      <c r="E2393" s="627" t="s">
        <v>1158</v>
      </c>
      <c r="F2393" s="631" t="s">
        <v>3298</v>
      </c>
      <c r="G2393" s="661">
        <v>210</v>
      </c>
      <c r="H2393" s="633">
        <v>2530</v>
      </c>
      <c r="I2393" s="618"/>
      <c r="J2393" s="619" t="s">
        <v>1158</v>
      </c>
      <c r="K2393" s="618"/>
      <c r="L2393" s="619">
        <v>89</v>
      </c>
      <c r="M2393" s="620">
        <v>84</v>
      </c>
      <c r="N2393" s="619"/>
      <c r="O2393" s="619">
        <v>17</v>
      </c>
      <c r="P2393" s="619" t="s">
        <v>760</v>
      </c>
      <c r="Q2393" s="662"/>
      <c r="R2393" s="618"/>
      <c r="S2393" s="621" t="s">
        <v>3278</v>
      </c>
      <c r="T2393" s="619" t="s">
        <v>1064</v>
      </c>
    </row>
    <row r="2394" spans="1:20">
      <c r="A2394" s="630">
        <v>2202530</v>
      </c>
      <c r="B2394" s="623"/>
      <c r="C2394" s="623"/>
      <c r="D2394" s="623"/>
      <c r="E2394" s="627" t="s">
        <v>1160</v>
      </c>
      <c r="F2394" s="631" t="s">
        <v>3299</v>
      </c>
      <c r="G2394" s="661">
        <v>220</v>
      </c>
      <c r="H2394" s="633">
        <v>2530</v>
      </c>
      <c r="I2394" s="618"/>
      <c r="J2394" s="619" t="s">
        <v>1160</v>
      </c>
      <c r="K2394" s="618"/>
      <c r="L2394" s="619">
        <v>90</v>
      </c>
      <c r="M2394" s="620">
        <v>85</v>
      </c>
      <c r="N2394" s="619"/>
      <c r="O2394" s="619">
        <v>17</v>
      </c>
      <c r="P2394" s="619" t="s">
        <v>760</v>
      </c>
      <c r="Q2394" s="662"/>
      <c r="R2394" s="618"/>
      <c r="S2394" s="621" t="s">
        <v>3278</v>
      </c>
      <c r="T2394" s="619" t="s">
        <v>1066</v>
      </c>
    </row>
    <row r="2395" spans="1:20">
      <c r="A2395" s="630">
        <v>2252530</v>
      </c>
      <c r="B2395" s="623"/>
      <c r="C2395" s="623"/>
      <c r="D2395" s="623"/>
      <c r="E2395" s="627" t="s">
        <v>1162</v>
      </c>
      <c r="F2395" s="631" t="s">
        <v>3300</v>
      </c>
      <c r="G2395" s="661">
        <v>225</v>
      </c>
      <c r="H2395" s="633">
        <v>2530</v>
      </c>
      <c r="I2395" s="618"/>
      <c r="J2395" s="619" t="s">
        <v>1162</v>
      </c>
      <c r="K2395" s="618"/>
      <c r="L2395" s="619">
        <v>91</v>
      </c>
      <c r="M2395" s="620">
        <v>86</v>
      </c>
      <c r="N2395" s="619"/>
      <c r="O2395" s="619">
        <v>17</v>
      </c>
      <c r="P2395" s="619" t="s">
        <v>760</v>
      </c>
      <c r="Q2395" s="662"/>
      <c r="R2395" s="618"/>
      <c r="S2395" s="621" t="s">
        <v>3278</v>
      </c>
      <c r="T2395" s="619" t="s">
        <v>23</v>
      </c>
    </row>
    <row r="2396" spans="1:20">
      <c r="A2396" s="622"/>
      <c r="B2396" s="623"/>
      <c r="C2396" s="623"/>
      <c r="D2396" s="623"/>
      <c r="E2396" s="627" t="s">
        <v>1164</v>
      </c>
      <c r="F2396" s="626"/>
      <c r="G2396" s="623"/>
      <c r="H2396" s="627"/>
      <c r="I2396" s="618"/>
      <c r="J2396" s="618"/>
      <c r="K2396" s="618"/>
      <c r="L2396" s="618"/>
      <c r="M2396" s="618"/>
      <c r="N2396" s="618"/>
      <c r="O2396" s="618"/>
      <c r="P2396" s="618"/>
      <c r="Q2396" s="662"/>
      <c r="R2396" s="618"/>
      <c r="S2396" s="621"/>
      <c r="T2396" s="618"/>
    </row>
    <row r="2397" spans="1:20">
      <c r="A2397" s="630">
        <v>2312530</v>
      </c>
      <c r="B2397" s="623"/>
      <c r="C2397" s="623"/>
      <c r="D2397" s="623"/>
      <c r="E2397" s="627" t="s">
        <v>1165</v>
      </c>
      <c r="F2397" s="631" t="s">
        <v>3301</v>
      </c>
      <c r="G2397" s="661">
        <v>231</v>
      </c>
      <c r="H2397" s="633">
        <v>2530</v>
      </c>
      <c r="I2397" s="618"/>
      <c r="J2397" s="619" t="s">
        <v>1165</v>
      </c>
      <c r="K2397" s="618"/>
      <c r="L2397" s="619">
        <v>92</v>
      </c>
      <c r="M2397" s="620">
        <v>87</v>
      </c>
      <c r="N2397" s="619"/>
      <c r="O2397" s="619">
        <v>17</v>
      </c>
      <c r="P2397" s="619" t="s">
        <v>760</v>
      </c>
      <c r="Q2397" s="662"/>
      <c r="R2397" s="618"/>
      <c r="S2397" s="621" t="s">
        <v>3278</v>
      </c>
      <c r="T2397" s="619" t="s">
        <v>1072</v>
      </c>
    </row>
    <row r="2398" spans="1:20">
      <c r="A2398" s="630">
        <v>2332530</v>
      </c>
      <c r="B2398" s="623"/>
      <c r="C2398" s="623"/>
      <c r="D2398" s="623"/>
      <c r="E2398" s="627" t="s">
        <v>1167</v>
      </c>
      <c r="F2398" s="631" t="s">
        <v>3302</v>
      </c>
      <c r="G2398" s="661">
        <v>233</v>
      </c>
      <c r="H2398" s="633">
        <v>2530</v>
      </c>
      <c r="I2398" s="618"/>
      <c r="J2398" s="619" t="s">
        <v>1167</v>
      </c>
      <c r="K2398" s="618"/>
      <c r="L2398" s="619">
        <v>92</v>
      </c>
      <c r="M2398" s="620">
        <v>87</v>
      </c>
      <c r="N2398" s="619"/>
      <c r="O2398" s="619">
        <v>17</v>
      </c>
      <c r="P2398" s="619" t="s">
        <v>760</v>
      </c>
      <c r="Q2398" s="662"/>
      <c r="R2398" s="618"/>
      <c r="S2398" s="621" t="s">
        <v>3278</v>
      </c>
      <c r="T2398" s="619" t="s">
        <v>1169</v>
      </c>
    </row>
    <row r="2399" spans="1:20">
      <c r="A2399" s="630">
        <v>2392530</v>
      </c>
      <c r="B2399" s="623"/>
      <c r="C2399" s="623"/>
      <c r="D2399" s="623"/>
      <c r="E2399" s="627" t="s">
        <v>1170</v>
      </c>
      <c r="F2399" s="631" t="s">
        <v>3303</v>
      </c>
      <c r="G2399" s="661">
        <v>239</v>
      </c>
      <c r="H2399" s="633">
        <v>2530</v>
      </c>
      <c r="I2399" s="618"/>
      <c r="J2399" s="619" t="s">
        <v>1170</v>
      </c>
      <c r="K2399" s="618"/>
      <c r="L2399" s="619">
        <v>92</v>
      </c>
      <c r="M2399" s="620">
        <v>87</v>
      </c>
      <c r="N2399" s="619"/>
      <c r="O2399" s="619">
        <v>17</v>
      </c>
      <c r="P2399" s="619" t="s">
        <v>760</v>
      </c>
      <c r="Q2399" s="662"/>
      <c r="R2399" s="618"/>
      <c r="S2399" s="621" t="s">
        <v>3278</v>
      </c>
      <c r="T2399" s="619" t="s">
        <v>1078</v>
      </c>
    </row>
    <row r="2400" spans="1:20">
      <c r="A2400" s="630">
        <v>2502530</v>
      </c>
      <c r="B2400" s="623"/>
      <c r="C2400" s="623"/>
      <c r="D2400" s="623"/>
      <c r="E2400" s="627" t="s">
        <v>1172</v>
      </c>
      <c r="F2400" s="631" t="s">
        <v>3304</v>
      </c>
      <c r="G2400" s="661">
        <v>250</v>
      </c>
      <c r="H2400" s="633">
        <v>2530</v>
      </c>
      <c r="I2400" s="618"/>
      <c r="J2400" s="619" t="s">
        <v>1172</v>
      </c>
      <c r="K2400" s="618"/>
      <c r="L2400" s="619">
        <v>93</v>
      </c>
      <c r="M2400" s="620">
        <v>88</v>
      </c>
      <c r="N2400" s="619"/>
      <c r="O2400" s="619">
        <v>17</v>
      </c>
      <c r="P2400" s="619" t="s">
        <v>760</v>
      </c>
      <c r="Q2400" s="662"/>
      <c r="R2400" s="618"/>
      <c r="S2400" s="621" t="s">
        <v>3278</v>
      </c>
      <c r="T2400" s="619" t="s">
        <v>1079</v>
      </c>
    </row>
    <row r="2401" spans="1:20">
      <c r="A2401" s="630">
        <v>2602530</v>
      </c>
      <c r="B2401" s="623"/>
      <c r="C2401" s="623"/>
      <c r="D2401" s="623"/>
      <c r="E2401" s="627" t="s">
        <v>1174</v>
      </c>
      <c r="F2401" s="631" t="s">
        <v>3305</v>
      </c>
      <c r="G2401" s="661">
        <v>260</v>
      </c>
      <c r="H2401" s="633">
        <v>2530</v>
      </c>
      <c r="I2401" s="618"/>
      <c r="J2401" s="619" t="s">
        <v>1174</v>
      </c>
      <c r="K2401" s="618"/>
      <c r="L2401" s="619">
        <v>95</v>
      </c>
      <c r="M2401" s="620">
        <v>90</v>
      </c>
      <c r="N2401" s="619"/>
      <c r="O2401" s="619">
        <v>17</v>
      </c>
      <c r="P2401" s="619" t="s">
        <v>760</v>
      </c>
      <c r="Q2401" s="662"/>
      <c r="R2401" s="618"/>
      <c r="S2401" s="621" t="s">
        <v>3278</v>
      </c>
      <c r="T2401" s="619" t="s">
        <v>1081</v>
      </c>
    </row>
    <row r="2402" spans="1:20">
      <c r="A2402" s="630">
        <v>2702530</v>
      </c>
      <c r="B2402" s="623"/>
      <c r="C2402" s="623"/>
      <c r="D2402" s="623"/>
      <c r="E2402" s="627" t="s">
        <v>1176</v>
      </c>
      <c r="F2402" s="631" t="s">
        <v>3306</v>
      </c>
      <c r="G2402" s="661">
        <v>270</v>
      </c>
      <c r="H2402" s="633">
        <v>2530</v>
      </c>
      <c r="I2402" s="618"/>
      <c r="J2402" s="619" t="s">
        <v>1176</v>
      </c>
      <c r="K2402" s="618"/>
      <c r="L2402" s="619">
        <v>94</v>
      </c>
      <c r="M2402" s="620">
        <v>89</v>
      </c>
      <c r="N2402" s="619"/>
      <c r="O2402" s="619">
        <v>17</v>
      </c>
      <c r="P2402" s="619" t="s">
        <v>760</v>
      </c>
      <c r="Q2402" s="662"/>
      <c r="R2402" s="618"/>
      <c r="S2402" s="621" t="s">
        <v>3278</v>
      </c>
      <c r="T2402" s="619" t="s">
        <v>1083</v>
      </c>
    </row>
    <row r="2403" spans="1:20">
      <c r="A2403" s="630">
        <v>2812530</v>
      </c>
      <c r="B2403" s="623"/>
      <c r="C2403" s="623"/>
      <c r="D2403" s="623"/>
      <c r="E2403" s="627" t="s">
        <v>1178</v>
      </c>
      <c r="F2403" s="631" t="s">
        <v>3307</v>
      </c>
      <c r="G2403" s="661">
        <v>281</v>
      </c>
      <c r="H2403" s="633">
        <v>2530</v>
      </c>
      <c r="I2403" s="618"/>
      <c r="J2403" s="619" t="s">
        <v>1178</v>
      </c>
      <c r="K2403" s="618"/>
      <c r="L2403" s="619">
        <v>95</v>
      </c>
      <c r="M2403" s="620">
        <v>90</v>
      </c>
      <c r="N2403" s="619"/>
      <c r="O2403" s="619">
        <v>17</v>
      </c>
      <c r="P2403" s="619" t="s">
        <v>760</v>
      </c>
      <c r="Q2403" s="662"/>
      <c r="R2403" s="618"/>
      <c r="S2403" s="621" t="s">
        <v>3278</v>
      </c>
      <c r="T2403" s="619" t="s">
        <v>1085</v>
      </c>
    </row>
    <row r="2404" spans="1:20">
      <c r="A2404" s="630">
        <v>2822530</v>
      </c>
      <c r="B2404" s="623"/>
      <c r="C2404" s="623"/>
      <c r="D2404" s="623"/>
      <c r="E2404" s="627" t="s">
        <v>1180</v>
      </c>
      <c r="F2404" s="631" t="s">
        <v>3308</v>
      </c>
      <c r="G2404" s="661">
        <v>282</v>
      </c>
      <c r="H2404" s="633">
        <v>2530</v>
      </c>
      <c r="I2404" s="618"/>
      <c r="J2404" s="619" t="s">
        <v>1180</v>
      </c>
      <c r="K2404" s="618"/>
      <c r="L2404" s="619">
        <v>95</v>
      </c>
      <c r="M2404" s="620">
        <v>90</v>
      </c>
      <c r="N2404" s="619"/>
      <c r="O2404" s="619">
        <v>17</v>
      </c>
      <c r="P2404" s="619" t="s">
        <v>760</v>
      </c>
      <c r="Q2404" s="662"/>
      <c r="R2404" s="618"/>
      <c r="S2404" s="621" t="s">
        <v>3278</v>
      </c>
      <c r="T2404" s="619" t="s">
        <v>1087</v>
      </c>
    </row>
    <row r="2405" spans="1:20">
      <c r="A2405" s="630">
        <v>2902530</v>
      </c>
      <c r="B2405" s="623"/>
      <c r="C2405" s="623"/>
      <c r="D2405" s="623"/>
      <c r="E2405" s="627" t="s">
        <v>1182</v>
      </c>
      <c r="F2405" s="631" t="s">
        <v>3309</v>
      </c>
      <c r="G2405" s="661">
        <v>290</v>
      </c>
      <c r="H2405" s="633">
        <v>2530</v>
      </c>
      <c r="I2405" s="618"/>
      <c r="J2405" s="619" t="s">
        <v>1182</v>
      </c>
      <c r="K2405" s="618"/>
      <c r="L2405" s="619">
        <v>95</v>
      </c>
      <c r="M2405" s="620">
        <v>90</v>
      </c>
      <c r="N2405" s="619"/>
      <c r="O2405" s="619">
        <v>17</v>
      </c>
      <c r="P2405" s="619" t="s">
        <v>760</v>
      </c>
      <c r="Q2405" s="662"/>
      <c r="R2405" s="618"/>
      <c r="S2405" s="621" t="s">
        <v>3278</v>
      </c>
      <c r="T2405" s="619" t="s">
        <v>1090</v>
      </c>
    </row>
    <row r="2406" spans="1:20">
      <c r="A2406" s="622"/>
      <c r="B2406" s="623"/>
      <c r="C2406" s="629">
        <v>73</v>
      </c>
      <c r="D2406" s="784" t="s">
        <v>3310</v>
      </c>
      <c r="E2406" s="775"/>
      <c r="F2406" s="626"/>
      <c r="G2406" s="623"/>
      <c r="H2406" s="627"/>
      <c r="I2406" s="618"/>
      <c r="J2406" s="618"/>
      <c r="K2406" s="618"/>
      <c r="L2406" s="618"/>
      <c r="M2406" s="618"/>
      <c r="N2406" s="618"/>
      <c r="O2406" s="618"/>
      <c r="P2406" s="618"/>
      <c r="Q2406" s="662"/>
      <c r="R2406" s="618"/>
      <c r="S2406" s="621"/>
      <c r="T2406" s="618"/>
    </row>
    <row r="2407" spans="1:20">
      <c r="A2407" s="622"/>
      <c r="B2407" s="623"/>
      <c r="C2407" s="623"/>
      <c r="D2407" s="623" t="s">
        <v>756</v>
      </c>
      <c r="E2407" s="627" t="s">
        <v>244</v>
      </c>
      <c r="F2407" s="626"/>
      <c r="G2407" s="623"/>
      <c r="H2407" s="627"/>
      <c r="I2407" s="618"/>
      <c r="J2407" s="618"/>
      <c r="K2407" s="618"/>
      <c r="L2407" s="618"/>
      <c r="M2407" s="618"/>
      <c r="N2407" s="618"/>
      <c r="O2407" s="618"/>
      <c r="P2407" s="618"/>
      <c r="Q2407" s="662"/>
      <c r="R2407" s="618"/>
      <c r="S2407" s="621"/>
      <c r="T2407" s="618"/>
    </row>
    <row r="2408" spans="1:20">
      <c r="A2408" s="630">
        <v>1112540</v>
      </c>
      <c r="B2408" s="623"/>
      <c r="C2408" s="623"/>
      <c r="D2408" s="623"/>
      <c r="E2408" s="627" t="s">
        <v>1844</v>
      </c>
      <c r="F2408" s="631" t="s">
        <v>3311</v>
      </c>
      <c r="G2408" s="661">
        <v>111</v>
      </c>
      <c r="H2408" s="633">
        <v>2540</v>
      </c>
      <c r="I2408" s="618"/>
      <c r="J2408" s="619" t="s">
        <v>1844</v>
      </c>
      <c r="K2408" s="618"/>
      <c r="L2408" s="619">
        <v>81</v>
      </c>
      <c r="M2408" s="620">
        <v>76</v>
      </c>
      <c r="N2408" s="619"/>
      <c r="O2408" s="619">
        <v>17</v>
      </c>
      <c r="P2408" s="619" t="s">
        <v>760</v>
      </c>
      <c r="Q2408" s="662"/>
      <c r="R2408" s="618"/>
      <c r="S2408" s="621" t="s">
        <v>3310</v>
      </c>
      <c r="T2408" s="619" t="s">
        <v>1847</v>
      </c>
    </row>
    <row r="2409" spans="1:20">
      <c r="A2409" s="630">
        <v>1142540</v>
      </c>
      <c r="B2409" s="623"/>
      <c r="C2409" s="623"/>
      <c r="D2409" s="623"/>
      <c r="E2409" s="627" t="s">
        <v>3196</v>
      </c>
      <c r="F2409" s="631" t="s">
        <v>3312</v>
      </c>
      <c r="G2409" s="661">
        <v>114</v>
      </c>
      <c r="H2409" s="633">
        <v>2540</v>
      </c>
      <c r="I2409" s="618"/>
      <c r="J2409" s="619" t="s">
        <v>3196</v>
      </c>
      <c r="K2409" s="618"/>
      <c r="L2409" s="619">
        <v>84</v>
      </c>
      <c r="M2409" s="620">
        <v>79</v>
      </c>
      <c r="N2409" s="619"/>
      <c r="O2409" s="619">
        <v>17</v>
      </c>
      <c r="P2409" s="619" t="s">
        <v>760</v>
      </c>
      <c r="Q2409" s="662"/>
      <c r="R2409" s="618"/>
      <c r="S2409" s="621" t="s">
        <v>3310</v>
      </c>
      <c r="T2409" s="619" t="s">
        <v>1853</v>
      </c>
    </row>
    <row r="2410" spans="1:20">
      <c r="A2410" s="630">
        <v>1002540</v>
      </c>
      <c r="B2410" s="623"/>
      <c r="C2410" s="623"/>
      <c r="D2410" s="623"/>
      <c r="E2410" s="627" t="s">
        <v>3313</v>
      </c>
      <c r="F2410" s="631" t="s">
        <v>3314</v>
      </c>
      <c r="G2410" s="661">
        <v>100</v>
      </c>
      <c r="H2410" s="633">
        <v>2540</v>
      </c>
      <c r="I2410" s="618"/>
      <c r="J2410" s="619" t="s">
        <v>3313</v>
      </c>
      <c r="K2410" s="618"/>
      <c r="L2410" s="619">
        <v>86</v>
      </c>
      <c r="M2410" s="620">
        <v>81</v>
      </c>
      <c r="N2410" s="619"/>
      <c r="O2410" s="619">
        <v>17</v>
      </c>
      <c r="P2410" s="619" t="s">
        <v>760</v>
      </c>
      <c r="Q2410" s="662"/>
      <c r="R2410" s="618"/>
      <c r="S2410" s="621" t="s">
        <v>3310</v>
      </c>
      <c r="T2410" s="619" t="s">
        <v>3315</v>
      </c>
    </row>
    <row r="2411" spans="1:20">
      <c r="A2411" s="630">
        <v>3002540</v>
      </c>
      <c r="B2411" s="623"/>
      <c r="C2411" s="623"/>
      <c r="D2411" s="623" t="s">
        <v>775</v>
      </c>
      <c r="E2411" s="627" t="s">
        <v>1112</v>
      </c>
      <c r="F2411" s="631" t="s">
        <v>3316</v>
      </c>
      <c r="G2411" s="661">
        <v>300</v>
      </c>
      <c r="H2411" s="633">
        <v>2540</v>
      </c>
      <c r="I2411" s="618"/>
      <c r="J2411" s="619" t="s">
        <v>1112</v>
      </c>
      <c r="K2411" s="618"/>
      <c r="L2411" s="619">
        <v>101</v>
      </c>
      <c r="M2411" s="620">
        <v>96</v>
      </c>
      <c r="N2411" s="619"/>
      <c r="O2411" s="619">
        <v>17</v>
      </c>
      <c r="P2411" s="619" t="s">
        <v>760</v>
      </c>
      <c r="Q2411" s="662"/>
      <c r="R2411" s="618"/>
      <c r="S2411" s="621" t="s">
        <v>3310</v>
      </c>
      <c r="T2411" s="619" t="s">
        <v>1112</v>
      </c>
    </row>
    <row r="2412" spans="1:20">
      <c r="A2412" s="622"/>
      <c r="B2412" s="623"/>
      <c r="C2412" s="623"/>
      <c r="D2412" s="623" t="s">
        <v>799</v>
      </c>
      <c r="E2412" s="627" t="s">
        <v>250</v>
      </c>
      <c r="F2412" s="626"/>
      <c r="G2412" s="623"/>
      <c r="H2412" s="627"/>
      <c r="I2412" s="618"/>
      <c r="J2412" s="618"/>
      <c r="K2412" s="618"/>
      <c r="L2412" s="618"/>
      <c r="M2412" s="618"/>
      <c r="N2412" s="618"/>
      <c r="O2412" s="618"/>
      <c r="P2412" s="618"/>
      <c r="Q2412" s="662"/>
      <c r="R2412" s="618"/>
      <c r="S2412" s="621"/>
      <c r="T2412" s="618"/>
    </row>
    <row r="2413" spans="1:20">
      <c r="A2413" s="630">
        <v>4302540</v>
      </c>
      <c r="B2413" s="623"/>
      <c r="C2413" s="623"/>
      <c r="D2413" s="623"/>
      <c r="E2413" s="627" t="s">
        <v>1114</v>
      </c>
      <c r="F2413" s="631" t="s">
        <v>3317</v>
      </c>
      <c r="G2413" s="661">
        <v>430</v>
      </c>
      <c r="H2413" s="633">
        <v>2540</v>
      </c>
      <c r="I2413" s="618"/>
      <c r="J2413" s="619" t="s">
        <v>1114</v>
      </c>
      <c r="K2413" s="618"/>
      <c r="L2413" s="619">
        <v>107</v>
      </c>
      <c r="M2413" s="620">
        <v>102</v>
      </c>
      <c r="N2413" s="619"/>
      <c r="O2413" s="619">
        <v>17</v>
      </c>
      <c r="P2413" s="619" t="s">
        <v>760</v>
      </c>
      <c r="Q2413" s="662"/>
      <c r="R2413" s="618"/>
      <c r="S2413" s="621" t="s">
        <v>3310</v>
      </c>
      <c r="T2413" s="619" t="s">
        <v>1021</v>
      </c>
    </row>
    <row r="2414" spans="1:20">
      <c r="A2414" s="630">
        <v>4422540</v>
      </c>
      <c r="B2414" s="623"/>
      <c r="C2414" s="623"/>
      <c r="D2414" s="623"/>
      <c r="E2414" s="627" t="s">
        <v>1381</v>
      </c>
      <c r="F2414" s="631" t="s">
        <v>3318</v>
      </c>
      <c r="G2414" s="661">
        <v>442</v>
      </c>
      <c r="H2414" s="633">
        <v>2540</v>
      </c>
      <c r="I2414" s="618"/>
      <c r="J2414" s="619" t="s">
        <v>1381</v>
      </c>
      <c r="K2414" s="618"/>
      <c r="L2414" s="619">
        <v>106</v>
      </c>
      <c r="M2414" s="620">
        <v>101</v>
      </c>
      <c r="N2414" s="619"/>
      <c r="O2414" s="619">
        <v>17</v>
      </c>
      <c r="P2414" s="619" t="s">
        <v>760</v>
      </c>
      <c r="Q2414" s="662"/>
      <c r="R2414" s="618"/>
      <c r="S2414" s="621" t="s">
        <v>3310</v>
      </c>
      <c r="T2414" s="619" t="s">
        <v>1383</v>
      </c>
    </row>
    <row r="2415" spans="1:20">
      <c r="A2415" s="630">
        <v>4002540</v>
      </c>
      <c r="B2415" s="623"/>
      <c r="C2415" s="623"/>
      <c r="D2415" s="623"/>
      <c r="E2415" s="627" t="s">
        <v>1118</v>
      </c>
      <c r="F2415" s="631" t="s">
        <v>3319</v>
      </c>
      <c r="G2415" s="661">
        <v>400</v>
      </c>
      <c r="H2415" s="633">
        <v>2540</v>
      </c>
      <c r="I2415" s="618"/>
      <c r="J2415" s="619" t="s">
        <v>1118</v>
      </c>
      <c r="K2415" s="618"/>
      <c r="L2415" s="619">
        <v>108</v>
      </c>
      <c r="M2415" s="620">
        <v>103</v>
      </c>
      <c r="N2415" s="619"/>
      <c r="O2415" s="619">
        <v>17</v>
      </c>
      <c r="P2415" s="619" t="s">
        <v>760</v>
      </c>
      <c r="Q2415" s="662"/>
      <c r="R2415" s="618"/>
      <c r="S2415" s="621" t="s">
        <v>3310</v>
      </c>
      <c r="T2415" s="619" t="s">
        <v>1025</v>
      </c>
    </row>
    <row r="2416" spans="1:20">
      <c r="A2416" s="622"/>
      <c r="B2416" s="623"/>
      <c r="C2416" s="623"/>
      <c r="D2416" s="623" t="s">
        <v>803</v>
      </c>
      <c r="E2416" s="627" t="s">
        <v>252</v>
      </c>
      <c r="F2416" s="626"/>
      <c r="G2416" s="623"/>
      <c r="H2416" s="627"/>
      <c r="I2416" s="618"/>
      <c r="J2416" s="618"/>
      <c r="K2416" s="618"/>
      <c r="L2416" s="618"/>
      <c r="M2416" s="618"/>
      <c r="N2416" s="618"/>
      <c r="O2416" s="618"/>
      <c r="P2416" s="618"/>
      <c r="Q2416" s="662"/>
      <c r="R2416" s="618"/>
      <c r="S2416" s="621"/>
      <c r="T2416" s="618"/>
    </row>
    <row r="2417" spans="1:20">
      <c r="A2417" s="630">
        <v>5502540</v>
      </c>
      <c r="B2417" s="623"/>
      <c r="C2417" s="623"/>
      <c r="D2417" s="623"/>
      <c r="E2417" s="627" t="s">
        <v>3320</v>
      </c>
      <c r="F2417" s="631" t="s">
        <v>3321</v>
      </c>
      <c r="G2417" s="661">
        <v>550</v>
      </c>
      <c r="H2417" s="633">
        <v>2540</v>
      </c>
      <c r="I2417" s="618"/>
      <c r="J2417" s="619" t="s">
        <v>3320</v>
      </c>
      <c r="K2417" s="618"/>
      <c r="L2417" s="619">
        <v>119</v>
      </c>
      <c r="M2417" s="620">
        <v>110</v>
      </c>
      <c r="N2417" s="619"/>
      <c r="O2417" s="619">
        <v>17</v>
      </c>
      <c r="P2417" s="619" t="s">
        <v>760</v>
      </c>
      <c r="Q2417" s="662"/>
      <c r="R2417" s="618"/>
      <c r="S2417" s="621" t="s">
        <v>3310</v>
      </c>
      <c r="T2417" s="619" t="s">
        <v>3322</v>
      </c>
    </row>
    <row r="2418" spans="1:20">
      <c r="A2418" s="630">
        <v>5822540</v>
      </c>
      <c r="B2418" s="623"/>
      <c r="C2418" s="623"/>
      <c r="D2418" s="623"/>
      <c r="E2418" s="627" t="s">
        <v>1134</v>
      </c>
      <c r="F2418" s="631" t="s">
        <v>3323</v>
      </c>
      <c r="G2418" s="661">
        <v>582</v>
      </c>
      <c r="H2418" s="633">
        <v>2540</v>
      </c>
      <c r="I2418" s="618"/>
      <c r="J2418" s="619" t="s">
        <v>1134</v>
      </c>
      <c r="K2418" s="618"/>
      <c r="L2418" s="619">
        <v>118</v>
      </c>
      <c r="M2418" s="620">
        <v>109</v>
      </c>
      <c r="N2418" s="619"/>
      <c r="O2418" s="619">
        <v>17</v>
      </c>
      <c r="P2418" s="619" t="s">
        <v>760</v>
      </c>
      <c r="Q2418" s="662"/>
      <c r="R2418" s="618"/>
      <c r="S2418" s="621" t="s">
        <v>3310</v>
      </c>
      <c r="T2418" s="619" t="s">
        <v>1037</v>
      </c>
    </row>
    <row r="2419" spans="1:20">
      <c r="A2419" s="630">
        <v>5002540</v>
      </c>
      <c r="B2419" s="628"/>
      <c r="C2419" s="623"/>
      <c r="D2419" s="623"/>
      <c r="E2419" s="627" t="s">
        <v>1136</v>
      </c>
      <c r="F2419" s="631" t="s">
        <v>3324</v>
      </c>
      <c r="G2419" s="661">
        <v>500</v>
      </c>
      <c r="H2419" s="633">
        <v>2540</v>
      </c>
      <c r="I2419" s="618"/>
      <c r="J2419" s="619" t="s">
        <v>1136</v>
      </c>
      <c r="K2419" s="618"/>
      <c r="L2419" s="619">
        <v>119</v>
      </c>
      <c r="M2419" s="620">
        <v>110</v>
      </c>
      <c r="N2419" s="619"/>
      <c r="O2419" s="619">
        <v>17</v>
      </c>
      <c r="P2419" s="619" t="s">
        <v>760</v>
      </c>
      <c r="Q2419" s="662"/>
      <c r="R2419" s="618"/>
      <c r="S2419" s="621" t="s">
        <v>3310</v>
      </c>
      <c r="T2419" s="619" t="s">
        <v>252</v>
      </c>
    </row>
    <row r="2420" spans="1:20">
      <c r="A2420" s="622"/>
      <c r="B2420" s="623"/>
      <c r="C2420" s="623"/>
      <c r="D2420" s="623" t="s">
        <v>848</v>
      </c>
      <c r="E2420" s="627" t="s">
        <v>254</v>
      </c>
      <c r="F2420" s="626"/>
      <c r="G2420" s="623"/>
      <c r="H2420" s="627"/>
      <c r="I2420" s="618"/>
      <c r="J2420" s="618"/>
      <c r="K2420" s="618"/>
      <c r="L2420" s="618"/>
      <c r="M2420" s="618"/>
      <c r="N2420" s="618"/>
      <c r="O2420" s="618"/>
      <c r="P2420" s="618"/>
      <c r="Q2420" s="662"/>
      <c r="R2420" s="618"/>
      <c r="S2420" s="621"/>
      <c r="T2420" s="618"/>
    </row>
    <row r="2421" spans="1:20">
      <c r="A2421" s="630">
        <v>6152540</v>
      </c>
      <c r="B2421" s="623"/>
      <c r="C2421" s="623"/>
      <c r="D2421" s="623"/>
      <c r="E2421" s="627" t="s">
        <v>1138</v>
      </c>
      <c r="F2421" s="631" t="s">
        <v>3325</v>
      </c>
      <c r="G2421" s="661">
        <v>615</v>
      </c>
      <c r="H2421" s="633">
        <v>2540</v>
      </c>
      <c r="I2421" s="618"/>
      <c r="J2421" s="619" t="s">
        <v>1138</v>
      </c>
      <c r="K2421" s="618"/>
      <c r="L2421" s="619">
        <v>126</v>
      </c>
      <c r="M2421" s="620">
        <v>117</v>
      </c>
      <c r="N2421" s="619"/>
      <c r="O2421" s="619">
        <v>17</v>
      </c>
      <c r="P2421" s="619" t="s">
        <v>760</v>
      </c>
      <c r="Q2421" s="662" t="s">
        <v>1043</v>
      </c>
      <c r="R2421" s="618"/>
      <c r="S2421" s="621" t="s">
        <v>3310</v>
      </c>
      <c r="T2421" s="619" t="s">
        <v>1041</v>
      </c>
    </row>
    <row r="2422" spans="1:20">
      <c r="A2422" s="630">
        <v>6102540</v>
      </c>
      <c r="B2422" s="623"/>
      <c r="C2422" s="623"/>
      <c r="D2422" s="623"/>
      <c r="E2422" s="627" t="s">
        <v>1140</v>
      </c>
      <c r="F2422" s="631" t="s">
        <v>3326</v>
      </c>
      <c r="G2422" s="661">
        <v>610</v>
      </c>
      <c r="H2422" s="633">
        <v>2540</v>
      </c>
      <c r="I2422" s="618"/>
      <c r="J2422" s="619" t="s">
        <v>1140</v>
      </c>
      <c r="K2422" s="618"/>
      <c r="L2422" s="619">
        <v>122</v>
      </c>
      <c r="M2422" s="620">
        <v>113</v>
      </c>
      <c r="N2422" s="619"/>
      <c r="O2422" s="619">
        <v>17</v>
      </c>
      <c r="P2422" s="619" t="s">
        <v>760</v>
      </c>
      <c r="Q2422" s="662" t="s">
        <v>1043</v>
      </c>
      <c r="R2422" s="618"/>
      <c r="S2422" s="621" t="s">
        <v>3310</v>
      </c>
      <c r="T2422" s="619" t="s">
        <v>39</v>
      </c>
    </row>
    <row r="2423" spans="1:20">
      <c r="A2423" s="630">
        <v>6002540</v>
      </c>
      <c r="B2423" s="623"/>
      <c r="C2423" s="623"/>
      <c r="D2423" s="623"/>
      <c r="E2423" s="627" t="s">
        <v>1869</v>
      </c>
      <c r="F2423" s="631" t="s">
        <v>3327</v>
      </c>
      <c r="G2423" s="661">
        <v>600</v>
      </c>
      <c r="H2423" s="633">
        <v>2540</v>
      </c>
      <c r="I2423" s="618"/>
      <c r="J2423" s="619" t="s">
        <v>1869</v>
      </c>
      <c r="K2423" s="618"/>
      <c r="L2423" s="619">
        <v>126</v>
      </c>
      <c r="M2423" s="620">
        <v>117</v>
      </c>
      <c r="N2423" s="619"/>
      <c r="O2423" s="619">
        <v>17</v>
      </c>
      <c r="P2423" s="619" t="s">
        <v>760</v>
      </c>
      <c r="Q2423" s="662"/>
      <c r="R2423" s="618"/>
      <c r="S2423" s="621" t="s">
        <v>3310</v>
      </c>
      <c r="T2423" s="619" t="s">
        <v>1048</v>
      </c>
    </row>
    <row r="2424" spans="1:20">
      <c r="A2424" s="622"/>
      <c r="B2424" s="623"/>
      <c r="C2424" s="623"/>
      <c r="D2424" s="623" t="s">
        <v>851</v>
      </c>
      <c r="E2424" s="627" t="s">
        <v>1050</v>
      </c>
      <c r="F2424" s="626"/>
      <c r="G2424" s="623"/>
      <c r="H2424" s="627"/>
      <c r="I2424" s="618"/>
      <c r="J2424" s="618"/>
      <c r="K2424" s="618"/>
      <c r="L2424" s="618"/>
      <c r="M2424" s="618"/>
      <c r="N2424" s="618"/>
      <c r="O2424" s="618"/>
      <c r="P2424" s="618"/>
      <c r="Q2424" s="662"/>
      <c r="R2424" s="618"/>
      <c r="S2424" s="621"/>
      <c r="T2424" s="618"/>
    </row>
    <row r="2425" spans="1:20">
      <c r="A2425" s="630">
        <v>7342540</v>
      </c>
      <c r="B2425" s="623"/>
      <c r="C2425" s="623"/>
      <c r="D2425" s="623"/>
      <c r="E2425" s="627" t="s">
        <v>1146</v>
      </c>
      <c r="F2425" s="631" t="s">
        <v>3328</v>
      </c>
      <c r="G2425" s="661">
        <v>734</v>
      </c>
      <c r="H2425" s="633">
        <v>2540</v>
      </c>
      <c r="I2425" s="618"/>
      <c r="J2425" s="619" t="s">
        <v>1146</v>
      </c>
      <c r="K2425" s="618"/>
      <c r="L2425" s="619">
        <v>131</v>
      </c>
      <c r="M2425" s="620">
        <v>122</v>
      </c>
      <c r="N2425" s="619"/>
      <c r="O2425" s="619">
        <v>17</v>
      </c>
      <c r="P2425" s="619" t="s">
        <v>760</v>
      </c>
      <c r="Q2425" s="662"/>
      <c r="R2425" s="618"/>
      <c r="S2425" s="621" t="s">
        <v>3310</v>
      </c>
      <c r="T2425" s="619" t="s">
        <v>1051</v>
      </c>
    </row>
    <row r="2426" spans="1:20">
      <c r="A2426" s="630">
        <v>7352540</v>
      </c>
      <c r="B2426" s="623"/>
      <c r="C2426" s="623"/>
      <c r="D2426" s="623"/>
      <c r="E2426" s="627" t="s">
        <v>1148</v>
      </c>
      <c r="F2426" s="631" t="s">
        <v>3329</v>
      </c>
      <c r="G2426" s="661">
        <v>735</v>
      </c>
      <c r="H2426" s="633">
        <v>2540</v>
      </c>
      <c r="I2426" s="618"/>
      <c r="J2426" s="619" t="s">
        <v>1148</v>
      </c>
      <c r="K2426" s="618"/>
      <c r="L2426" s="619">
        <v>131</v>
      </c>
      <c r="M2426" s="620">
        <v>122</v>
      </c>
      <c r="N2426" s="619"/>
      <c r="O2426" s="619">
        <v>17</v>
      </c>
      <c r="P2426" s="619" t="s">
        <v>760</v>
      </c>
      <c r="Q2426" s="662"/>
      <c r="R2426" s="618"/>
      <c r="S2426" s="621" t="s">
        <v>3310</v>
      </c>
      <c r="T2426" s="619" t="s">
        <v>1053</v>
      </c>
    </row>
    <row r="2427" spans="1:20">
      <c r="A2427" s="630">
        <v>7302540</v>
      </c>
      <c r="B2427" s="623"/>
      <c r="C2427" s="623"/>
      <c r="D2427" s="623"/>
      <c r="E2427" s="627" t="s">
        <v>1150</v>
      </c>
      <c r="F2427" s="631" t="s">
        <v>3330</v>
      </c>
      <c r="G2427" s="661">
        <v>730</v>
      </c>
      <c r="H2427" s="633">
        <v>2540</v>
      </c>
      <c r="I2427" s="618"/>
      <c r="J2427" s="619" t="s">
        <v>1150</v>
      </c>
      <c r="K2427" s="618"/>
      <c r="L2427" s="619">
        <v>131</v>
      </c>
      <c r="M2427" s="620">
        <v>122</v>
      </c>
      <c r="N2427" s="619"/>
      <c r="O2427" s="619">
        <v>17</v>
      </c>
      <c r="P2427" s="619" t="s">
        <v>760</v>
      </c>
      <c r="Q2427" s="662"/>
      <c r="R2427" s="618"/>
      <c r="S2427" s="621" t="s">
        <v>3310</v>
      </c>
      <c r="T2427" s="619" t="s">
        <v>1055</v>
      </c>
    </row>
    <row r="2428" spans="1:20">
      <c r="A2428" s="630">
        <v>7002540</v>
      </c>
      <c r="B2428" s="623"/>
      <c r="C2428" s="623"/>
      <c r="D2428" s="623"/>
      <c r="E2428" s="627" t="s">
        <v>1152</v>
      </c>
      <c r="F2428" s="631" t="s">
        <v>3331</v>
      </c>
      <c r="G2428" s="661">
        <v>700</v>
      </c>
      <c r="H2428" s="633">
        <v>2540</v>
      </c>
      <c r="I2428" s="618"/>
      <c r="J2428" s="619" t="s">
        <v>1152</v>
      </c>
      <c r="K2428" s="618"/>
      <c r="L2428" s="619">
        <v>132</v>
      </c>
      <c r="M2428" s="620">
        <v>123</v>
      </c>
      <c r="N2428" s="619"/>
      <c r="O2428" s="619">
        <v>17</v>
      </c>
      <c r="P2428" s="619" t="s">
        <v>760</v>
      </c>
      <c r="Q2428" s="662"/>
      <c r="R2428" s="618"/>
      <c r="S2428" s="621" t="s">
        <v>3310</v>
      </c>
      <c r="T2428" s="619" t="s">
        <v>1057</v>
      </c>
    </row>
    <row r="2429" spans="1:20">
      <c r="A2429" s="630">
        <v>8002540</v>
      </c>
      <c r="B2429" s="623"/>
      <c r="C2429" s="623"/>
      <c r="D2429" s="623" t="s">
        <v>854</v>
      </c>
      <c r="E2429" s="627" t="s">
        <v>3070</v>
      </c>
      <c r="F2429" s="631" t="s">
        <v>3332</v>
      </c>
      <c r="G2429" s="661">
        <v>800</v>
      </c>
      <c r="H2429" s="633">
        <v>2540</v>
      </c>
      <c r="I2429" s="618"/>
      <c r="J2429" s="619" t="s">
        <v>3070</v>
      </c>
      <c r="K2429" s="618"/>
      <c r="L2429" s="619">
        <v>139</v>
      </c>
      <c r="M2429" s="620">
        <v>129</v>
      </c>
      <c r="N2429" s="619"/>
      <c r="O2429" s="619">
        <v>17</v>
      </c>
      <c r="P2429" s="619" t="s">
        <v>760</v>
      </c>
      <c r="Q2429" s="662"/>
      <c r="R2429" s="618"/>
      <c r="S2429" s="621" t="s">
        <v>3310</v>
      </c>
      <c r="T2429" s="619" t="s">
        <v>3070</v>
      </c>
    </row>
    <row r="2430" spans="1:20">
      <c r="A2430" s="622"/>
      <c r="B2430" s="623"/>
      <c r="C2430" s="623"/>
      <c r="D2430" s="623" t="s">
        <v>857</v>
      </c>
      <c r="E2430" s="627" t="s">
        <v>1063</v>
      </c>
      <c r="F2430" s="626"/>
      <c r="G2430" s="623"/>
      <c r="H2430" s="627"/>
      <c r="I2430" s="618"/>
      <c r="J2430" s="618"/>
      <c r="K2430" s="618"/>
      <c r="L2430" s="618"/>
      <c r="M2430" s="618"/>
      <c r="N2430" s="618"/>
      <c r="O2430" s="618"/>
      <c r="P2430" s="618"/>
      <c r="Q2430" s="662"/>
      <c r="R2430" s="618"/>
      <c r="S2430" s="621"/>
      <c r="T2430" s="618"/>
    </row>
    <row r="2431" spans="1:20">
      <c r="A2431" s="630">
        <v>2102540</v>
      </c>
      <c r="B2431" s="623"/>
      <c r="C2431" s="623"/>
      <c r="D2431" s="623"/>
      <c r="E2431" s="627" t="s">
        <v>1158</v>
      </c>
      <c r="F2431" s="631" t="s">
        <v>3333</v>
      </c>
      <c r="G2431" s="661">
        <v>210</v>
      </c>
      <c r="H2431" s="633">
        <v>2540</v>
      </c>
      <c r="I2431" s="618"/>
      <c r="J2431" s="619" t="s">
        <v>1158</v>
      </c>
      <c r="K2431" s="618"/>
      <c r="L2431" s="619">
        <v>89</v>
      </c>
      <c r="M2431" s="620">
        <v>84</v>
      </c>
      <c r="N2431" s="619"/>
      <c r="O2431" s="619">
        <v>17</v>
      </c>
      <c r="P2431" s="619" t="s">
        <v>760</v>
      </c>
      <c r="Q2431" s="662"/>
      <c r="R2431" s="618"/>
      <c r="S2431" s="621" t="s">
        <v>3310</v>
      </c>
      <c r="T2431" s="619" t="s">
        <v>1064</v>
      </c>
    </row>
    <row r="2432" spans="1:20">
      <c r="A2432" s="630">
        <v>2202540</v>
      </c>
      <c r="B2432" s="623"/>
      <c r="C2432" s="623"/>
      <c r="D2432" s="623"/>
      <c r="E2432" s="627" t="s">
        <v>1160</v>
      </c>
      <c r="F2432" s="631" t="s">
        <v>3334</v>
      </c>
      <c r="G2432" s="661">
        <v>220</v>
      </c>
      <c r="H2432" s="633">
        <v>2540</v>
      </c>
      <c r="I2432" s="618"/>
      <c r="J2432" s="619" t="s">
        <v>1160</v>
      </c>
      <c r="K2432" s="618"/>
      <c r="L2432" s="619">
        <v>90</v>
      </c>
      <c r="M2432" s="620">
        <v>85</v>
      </c>
      <c r="N2432" s="619"/>
      <c r="O2432" s="619">
        <v>17</v>
      </c>
      <c r="P2432" s="619" t="s">
        <v>760</v>
      </c>
      <c r="Q2432" s="662"/>
      <c r="R2432" s="618"/>
      <c r="S2432" s="621" t="s">
        <v>3310</v>
      </c>
      <c r="T2432" s="619" t="s">
        <v>1066</v>
      </c>
    </row>
    <row r="2433" spans="1:20">
      <c r="A2433" s="630">
        <v>2252540</v>
      </c>
      <c r="B2433" s="623"/>
      <c r="C2433" s="623"/>
      <c r="D2433" s="623"/>
      <c r="E2433" s="627" t="s">
        <v>1162</v>
      </c>
      <c r="F2433" s="631" t="s">
        <v>3335</v>
      </c>
      <c r="G2433" s="661">
        <v>225</v>
      </c>
      <c r="H2433" s="633">
        <v>2540</v>
      </c>
      <c r="I2433" s="618"/>
      <c r="J2433" s="619" t="s">
        <v>1162</v>
      </c>
      <c r="K2433" s="618"/>
      <c r="L2433" s="619">
        <v>91</v>
      </c>
      <c r="M2433" s="620">
        <v>86</v>
      </c>
      <c r="N2433" s="619"/>
      <c r="O2433" s="619">
        <v>17</v>
      </c>
      <c r="P2433" s="619" t="s">
        <v>760</v>
      </c>
      <c r="Q2433" s="662"/>
      <c r="R2433" s="618"/>
      <c r="S2433" s="621" t="s">
        <v>3310</v>
      </c>
      <c r="T2433" s="619" t="s">
        <v>23</v>
      </c>
    </row>
    <row r="2434" spans="1:20">
      <c r="A2434" s="622"/>
      <c r="B2434" s="623"/>
      <c r="C2434" s="623"/>
      <c r="D2434" s="623"/>
      <c r="E2434" s="627" t="s">
        <v>1164</v>
      </c>
      <c r="F2434" s="626"/>
      <c r="G2434" s="623"/>
      <c r="H2434" s="627"/>
      <c r="I2434" s="618"/>
      <c r="J2434" s="618"/>
      <c r="K2434" s="618"/>
      <c r="L2434" s="618"/>
      <c r="M2434" s="618"/>
      <c r="N2434" s="618"/>
      <c r="O2434" s="618"/>
      <c r="P2434" s="618"/>
      <c r="Q2434" s="662"/>
      <c r="R2434" s="618"/>
      <c r="S2434" s="621"/>
      <c r="T2434" s="618"/>
    </row>
    <row r="2435" spans="1:20">
      <c r="A2435" s="630">
        <v>2312540</v>
      </c>
      <c r="B2435" s="623"/>
      <c r="C2435" s="623"/>
      <c r="D2435" s="623"/>
      <c r="E2435" s="627" t="s">
        <v>1165</v>
      </c>
      <c r="F2435" s="631" t="s">
        <v>3336</v>
      </c>
      <c r="G2435" s="661">
        <v>231</v>
      </c>
      <c r="H2435" s="633">
        <v>2540</v>
      </c>
      <c r="I2435" s="618"/>
      <c r="J2435" s="619" t="s">
        <v>1165</v>
      </c>
      <c r="K2435" s="618"/>
      <c r="L2435" s="619">
        <v>92</v>
      </c>
      <c r="M2435" s="620">
        <v>87</v>
      </c>
      <c r="N2435" s="619"/>
      <c r="O2435" s="619">
        <v>17</v>
      </c>
      <c r="P2435" s="619" t="s">
        <v>760</v>
      </c>
      <c r="Q2435" s="662"/>
      <c r="R2435" s="618"/>
      <c r="S2435" s="621" t="s">
        <v>3310</v>
      </c>
      <c r="T2435" s="619" t="s">
        <v>1072</v>
      </c>
    </row>
    <row r="2436" spans="1:20">
      <c r="A2436" s="630">
        <v>2332540</v>
      </c>
      <c r="B2436" s="623"/>
      <c r="C2436" s="623"/>
      <c r="D2436" s="623"/>
      <c r="E2436" s="627" t="s">
        <v>1167</v>
      </c>
      <c r="F2436" s="631" t="s">
        <v>3337</v>
      </c>
      <c r="G2436" s="661">
        <v>233</v>
      </c>
      <c r="H2436" s="633">
        <v>2540</v>
      </c>
      <c r="I2436" s="618"/>
      <c r="J2436" s="619" t="s">
        <v>1167</v>
      </c>
      <c r="K2436" s="618"/>
      <c r="L2436" s="619">
        <v>92</v>
      </c>
      <c r="M2436" s="620">
        <v>87</v>
      </c>
      <c r="N2436" s="619"/>
      <c r="O2436" s="619">
        <v>17</v>
      </c>
      <c r="P2436" s="619" t="s">
        <v>760</v>
      </c>
      <c r="Q2436" s="662"/>
      <c r="R2436" s="618"/>
      <c r="S2436" s="621" t="s">
        <v>3310</v>
      </c>
      <c r="T2436" s="619" t="s">
        <v>1169</v>
      </c>
    </row>
    <row r="2437" spans="1:20">
      <c r="A2437" s="630">
        <v>2392540</v>
      </c>
      <c r="B2437" s="623"/>
      <c r="C2437" s="623"/>
      <c r="D2437" s="623"/>
      <c r="E2437" s="627" t="s">
        <v>1170</v>
      </c>
      <c r="F2437" s="631" t="s">
        <v>3338</v>
      </c>
      <c r="G2437" s="661">
        <v>239</v>
      </c>
      <c r="H2437" s="633">
        <v>2540</v>
      </c>
      <c r="I2437" s="618"/>
      <c r="J2437" s="619" t="s">
        <v>1170</v>
      </c>
      <c r="K2437" s="618"/>
      <c r="L2437" s="619">
        <v>92</v>
      </c>
      <c r="M2437" s="620">
        <v>87</v>
      </c>
      <c r="N2437" s="619"/>
      <c r="O2437" s="619">
        <v>17</v>
      </c>
      <c r="P2437" s="619" t="s">
        <v>760</v>
      </c>
      <c r="Q2437" s="662"/>
      <c r="R2437" s="618"/>
      <c r="S2437" s="621" t="s">
        <v>3310</v>
      </c>
      <c r="T2437" s="619" t="s">
        <v>1078</v>
      </c>
    </row>
    <row r="2438" spans="1:20">
      <c r="A2438" s="630">
        <v>2502540</v>
      </c>
      <c r="B2438" s="623"/>
      <c r="C2438" s="623"/>
      <c r="D2438" s="623"/>
      <c r="E2438" s="627" t="s">
        <v>1172</v>
      </c>
      <c r="F2438" s="631" t="s">
        <v>3339</v>
      </c>
      <c r="G2438" s="661">
        <v>250</v>
      </c>
      <c r="H2438" s="633">
        <v>2540</v>
      </c>
      <c r="I2438" s="618"/>
      <c r="J2438" s="619" t="s">
        <v>1172</v>
      </c>
      <c r="K2438" s="618"/>
      <c r="L2438" s="619">
        <v>93</v>
      </c>
      <c r="M2438" s="620">
        <v>88</v>
      </c>
      <c r="N2438" s="619"/>
      <c r="O2438" s="619">
        <v>17</v>
      </c>
      <c r="P2438" s="619" t="s">
        <v>760</v>
      </c>
      <c r="Q2438" s="662"/>
      <c r="R2438" s="618"/>
      <c r="S2438" s="621" t="s">
        <v>3310</v>
      </c>
      <c r="T2438" s="619" t="s">
        <v>1079</v>
      </c>
    </row>
    <row r="2439" spans="1:20">
      <c r="A2439" s="630">
        <v>2602540</v>
      </c>
      <c r="B2439" s="623"/>
      <c r="C2439" s="623"/>
      <c r="D2439" s="623"/>
      <c r="E2439" s="627" t="s">
        <v>1174</v>
      </c>
      <c r="F2439" s="631" t="s">
        <v>3340</v>
      </c>
      <c r="G2439" s="661">
        <v>260</v>
      </c>
      <c r="H2439" s="633">
        <v>2540</v>
      </c>
      <c r="I2439" s="618"/>
      <c r="J2439" s="619" t="s">
        <v>1174</v>
      </c>
      <c r="K2439" s="618"/>
      <c r="L2439" s="619">
        <v>95</v>
      </c>
      <c r="M2439" s="620">
        <v>90</v>
      </c>
      <c r="N2439" s="619"/>
      <c r="O2439" s="619">
        <v>17</v>
      </c>
      <c r="P2439" s="619" t="s">
        <v>760</v>
      </c>
      <c r="Q2439" s="662"/>
      <c r="R2439" s="618"/>
      <c r="S2439" s="621" t="s">
        <v>3310</v>
      </c>
      <c r="T2439" s="619" t="s">
        <v>1081</v>
      </c>
    </row>
    <row r="2440" spans="1:20">
      <c r="A2440" s="630">
        <v>2702540</v>
      </c>
      <c r="B2440" s="623"/>
      <c r="C2440" s="623"/>
      <c r="D2440" s="623"/>
      <c r="E2440" s="627" t="s">
        <v>1176</v>
      </c>
      <c r="F2440" s="631" t="s">
        <v>3341</v>
      </c>
      <c r="G2440" s="661">
        <v>270</v>
      </c>
      <c r="H2440" s="633">
        <v>2540</v>
      </c>
      <c r="I2440" s="618"/>
      <c r="J2440" s="619" t="s">
        <v>1176</v>
      </c>
      <c r="K2440" s="618"/>
      <c r="L2440" s="619">
        <v>94</v>
      </c>
      <c r="M2440" s="620">
        <v>89</v>
      </c>
      <c r="N2440" s="619"/>
      <c r="O2440" s="619">
        <v>17</v>
      </c>
      <c r="P2440" s="619" t="s">
        <v>760</v>
      </c>
      <c r="Q2440" s="662"/>
      <c r="R2440" s="618"/>
      <c r="S2440" s="621" t="s">
        <v>3310</v>
      </c>
      <c r="T2440" s="619" t="s">
        <v>1083</v>
      </c>
    </row>
    <row r="2441" spans="1:20">
      <c r="A2441" s="630">
        <v>2812540</v>
      </c>
      <c r="B2441" s="623"/>
      <c r="C2441" s="623"/>
      <c r="D2441" s="623"/>
      <c r="E2441" s="627" t="s">
        <v>1178</v>
      </c>
      <c r="F2441" s="631" t="s">
        <v>3342</v>
      </c>
      <c r="G2441" s="661">
        <v>281</v>
      </c>
      <c r="H2441" s="633">
        <v>2540</v>
      </c>
      <c r="I2441" s="618"/>
      <c r="J2441" s="619" t="s">
        <v>1178</v>
      </c>
      <c r="K2441" s="618"/>
      <c r="L2441" s="619">
        <v>95</v>
      </c>
      <c r="M2441" s="620">
        <v>90</v>
      </c>
      <c r="N2441" s="619"/>
      <c r="O2441" s="619">
        <v>17</v>
      </c>
      <c r="P2441" s="619" t="s">
        <v>760</v>
      </c>
      <c r="Q2441" s="662"/>
      <c r="R2441" s="618"/>
      <c r="S2441" s="621" t="s">
        <v>3310</v>
      </c>
      <c r="T2441" s="619" t="s">
        <v>1085</v>
      </c>
    </row>
    <row r="2442" spans="1:20">
      <c r="A2442" s="630">
        <v>2822540</v>
      </c>
      <c r="B2442" s="623"/>
      <c r="C2442" s="623"/>
      <c r="D2442" s="623"/>
      <c r="E2442" s="627" t="s">
        <v>1180</v>
      </c>
      <c r="F2442" s="631" t="s">
        <v>3343</v>
      </c>
      <c r="G2442" s="661">
        <v>282</v>
      </c>
      <c r="H2442" s="633">
        <v>2540</v>
      </c>
      <c r="I2442" s="618"/>
      <c r="J2442" s="619" t="s">
        <v>1180</v>
      </c>
      <c r="K2442" s="618"/>
      <c r="L2442" s="619">
        <v>95</v>
      </c>
      <c r="M2442" s="620">
        <v>90</v>
      </c>
      <c r="N2442" s="619"/>
      <c r="O2442" s="619">
        <v>17</v>
      </c>
      <c r="P2442" s="619" t="s">
        <v>760</v>
      </c>
      <c r="Q2442" s="662"/>
      <c r="R2442" s="618"/>
      <c r="S2442" s="621" t="s">
        <v>3310</v>
      </c>
      <c r="T2442" s="619" t="s">
        <v>1087</v>
      </c>
    </row>
    <row r="2443" spans="1:20">
      <c r="A2443" s="630">
        <v>2902540</v>
      </c>
      <c r="B2443" s="623"/>
      <c r="C2443" s="623"/>
      <c r="D2443" s="623"/>
      <c r="E2443" s="627" t="s">
        <v>1182</v>
      </c>
      <c r="F2443" s="631" t="s">
        <v>3344</v>
      </c>
      <c r="G2443" s="661">
        <v>290</v>
      </c>
      <c r="H2443" s="633">
        <v>2540</v>
      </c>
      <c r="I2443" s="618"/>
      <c r="J2443" s="619" t="s">
        <v>1182</v>
      </c>
      <c r="K2443" s="618"/>
      <c r="L2443" s="619">
        <v>95</v>
      </c>
      <c r="M2443" s="620">
        <v>90</v>
      </c>
      <c r="N2443" s="619"/>
      <c r="O2443" s="619">
        <v>17</v>
      </c>
      <c r="P2443" s="619" t="s">
        <v>760</v>
      </c>
      <c r="Q2443" s="662"/>
      <c r="R2443" s="618"/>
      <c r="S2443" s="621" t="s">
        <v>3310</v>
      </c>
      <c r="T2443" s="619" t="s">
        <v>1090</v>
      </c>
    </row>
    <row r="2444" spans="1:20">
      <c r="A2444" s="622"/>
      <c r="B2444" s="623"/>
      <c r="C2444" s="629">
        <v>74</v>
      </c>
      <c r="D2444" s="784" t="s">
        <v>3345</v>
      </c>
      <c r="E2444" s="775"/>
      <c r="F2444" s="626"/>
      <c r="G2444" s="623"/>
      <c r="H2444" s="627"/>
      <c r="I2444" s="618"/>
      <c r="J2444" s="618"/>
      <c r="K2444" s="618"/>
      <c r="L2444" s="618"/>
      <c r="M2444" s="618"/>
      <c r="N2444" s="618"/>
      <c r="O2444" s="618"/>
      <c r="P2444" s="618"/>
      <c r="Q2444" s="662"/>
      <c r="R2444" s="618"/>
      <c r="S2444" s="621"/>
      <c r="T2444" s="618"/>
    </row>
    <row r="2445" spans="1:20">
      <c r="A2445" s="622"/>
      <c r="B2445" s="623"/>
      <c r="C2445" s="623"/>
      <c r="D2445" s="623" t="s">
        <v>756</v>
      </c>
      <c r="E2445" s="627" t="s">
        <v>244</v>
      </c>
      <c r="F2445" s="626"/>
      <c r="G2445" s="623"/>
      <c r="H2445" s="627"/>
      <c r="I2445" s="618"/>
      <c r="J2445" s="618"/>
      <c r="K2445" s="618"/>
      <c r="L2445" s="618"/>
      <c r="M2445" s="618"/>
      <c r="N2445" s="618"/>
      <c r="O2445" s="618"/>
      <c r="P2445" s="618"/>
      <c r="Q2445" s="662"/>
      <c r="R2445" s="618"/>
      <c r="S2445" s="621"/>
      <c r="T2445" s="618"/>
    </row>
    <row r="2446" spans="1:20">
      <c r="A2446" s="630">
        <v>1112590</v>
      </c>
      <c r="B2446" s="623"/>
      <c r="C2446" s="623"/>
      <c r="D2446" s="623"/>
      <c r="E2446" s="627" t="s">
        <v>1844</v>
      </c>
      <c r="F2446" s="631" t="s">
        <v>3346</v>
      </c>
      <c r="G2446" s="661">
        <v>111</v>
      </c>
      <c r="H2446" s="633">
        <v>2590</v>
      </c>
      <c r="I2446" s="618"/>
      <c r="J2446" s="619" t="s">
        <v>1844</v>
      </c>
      <c r="K2446" s="618"/>
      <c r="L2446" s="619">
        <v>81</v>
      </c>
      <c r="M2446" s="620">
        <v>76</v>
      </c>
      <c r="N2446" s="619"/>
      <c r="O2446" s="619">
        <v>17</v>
      </c>
      <c r="P2446" s="619" t="s">
        <v>760</v>
      </c>
      <c r="Q2446" s="662"/>
      <c r="R2446" s="618"/>
      <c r="S2446" s="621" t="s">
        <v>3345</v>
      </c>
      <c r="T2446" s="619" t="s">
        <v>1847</v>
      </c>
    </row>
    <row r="2447" spans="1:20">
      <c r="A2447" s="630">
        <v>1142590</v>
      </c>
      <c r="B2447" s="623"/>
      <c r="C2447" s="623"/>
      <c r="D2447" s="623"/>
      <c r="E2447" s="627" t="s">
        <v>3196</v>
      </c>
      <c r="F2447" s="631" t="s">
        <v>3347</v>
      </c>
      <c r="G2447" s="661">
        <v>114</v>
      </c>
      <c r="H2447" s="633">
        <v>2590</v>
      </c>
      <c r="I2447" s="618"/>
      <c r="J2447" s="619" t="s">
        <v>3196</v>
      </c>
      <c r="K2447" s="618"/>
      <c r="L2447" s="619">
        <v>84</v>
      </c>
      <c r="M2447" s="620">
        <v>79</v>
      </c>
      <c r="N2447" s="619"/>
      <c r="O2447" s="619">
        <v>17</v>
      </c>
      <c r="P2447" s="619" t="s">
        <v>760</v>
      </c>
      <c r="Q2447" s="662"/>
      <c r="R2447" s="618"/>
      <c r="S2447" s="621" t="s">
        <v>3345</v>
      </c>
      <c r="T2447" s="619" t="s">
        <v>1853</v>
      </c>
    </row>
    <row r="2448" spans="1:20">
      <c r="A2448" s="630">
        <v>1002590</v>
      </c>
      <c r="B2448" s="623"/>
      <c r="C2448" s="623"/>
      <c r="D2448" s="623"/>
      <c r="E2448" s="627" t="s">
        <v>3348</v>
      </c>
      <c r="F2448" s="631" t="s">
        <v>3349</v>
      </c>
      <c r="G2448" s="661">
        <v>100</v>
      </c>
      <c r="H2448" s="633">
        <v>2590</v>
      </c>
      <c r="I2448" s="618"/>
      <c r="J2448" s="619" t="s">
        <v>3348</v>
      </c>
      <c r="K2448" s="618"/>
      <c r="L2448" s="619">
        <v>86</v>
      </c>
      <c r="M2448" s="620">
        <v>81</v>
      </c>
      <c r="N2448" s="619"/>
      <c r="O2448" s="619">
        <v>17</v>
      </c>
      <c r="P2448" s="619" t="s">
        <v>760</v>
      </c>
      <c r="Q2448" s="662"/>
      <c r="R2448" s="618"/>
      <c r="S2448" s="621" t="s">
        <v>3345</v>
      </c>
      <c r="T2448" s="619" t="s">
        <v>1946</v>
      </c>
    </row>
    <row r="2449" spans="1:20">
      <c r="A2449" s="630">
        <v>3002590</v>
      </c>
      <c r="B2449" s="623"/>
      <c r="C2449" s="623"/>
      <c r="D2449" s="623" t="s">
        <v>775</v>
      </c>
      <c r="E2449" s="627" t="s">
        <v>1112</v>
      </c>
      <c r="F2449" s="631" t="s">
        <v>3350</v>
      </c>
      <c r="G2449" s="661">
        <v>300</v>
      </c>
      <c r="H2449" s="633">
        <v>2590</v>
      </c>
      <c r="I2449" s="618"/>
      <c r="J2449" s="619" t="s">
        <v>1112</v>
      </c>
      <c r="K2449" s="618"/>
      <c r="L2449" s="619">
        <v>101</v>
      </c>
      <c r="M2449" s="620">
        <v>96</v>
      </c>
      <c r="N2449" s="619"/>
      <c r="O2449" s="619">
        <v>17</v>
      </c>
      <c r="P2449" s="619" t="s">
        <v>760</v>
      </c>
      <c r="Q2449" s="662"/>
      <c r="R2449" s="618"/>
      <c r="S2449" s="621" t="s">
        <v>3345</v>
      </c>
      <c r="T2449" s="619" t="s">
        <v>1112</v>
      </c>
    </row>
    <row r="2450" spans="1:20">
      <c r="A2450" s="622"/>
      <c r="B2450" s="623"/>
      <c r="C2450" s="623"/>
      <c r="D2450" s="623" t="s">
        <v>799</v>
      </c>
      <c r="E2450" s="627" t="s">
        <v>250</v>
      </c>
      <c r="F2450" s="626"/>
      <c r="G2450" s="623"/>
      <c r="H2450" s="627"/>
      <c r="I2450" s="618"/>
      <c r="J2450" s="618"/>
      <c r="K2450" s="618"/>
      <c r="L2450" s="618"/>
      <c r="M2450" s="618"/>
      <c r="N2450" s="618"/>
      <c r="O2450" s="618"/>
      <c r="P2450" s="618"/>
      <c r="Q2450" s="662"/>
      <c r="R2450" s="618"/>
      <c r="S2450" s="621"/>
      <c r="T2450" s="618"/>
    </row>
    <row r="2451" spans="1:20">
      <c r="A2451" s="630">
        <v>4302590</v>
      </c>
      <c r="B2451" s="623"/>
      <c r="C2451" s="623"/>
      <c r="D2451" s="623"/>
      <c r="E2451" s="627" t="s">
        <v>1114</v>
      </c>
      <c r="F2451" s="631" t="s">
        <v>3351</v>
      </c>
      <c r="G2451" s="661">
        <v>430</v>
      </c>
      <c r="H2451" s="633">
        <v>2590</v>
      </c>
      <c r="I2451" s="618"/>
      <c r="J2451" s="619" t="s">
        <v>1114</v>
      </c>
      <c r="K2451" s="618"/>
      <c r="L2451" s="619">
        <v>107</v>
      </c>
      <c r="M2451" s="620">
        <v>102</v>
      </c>
      <c r="N2451" s="619"/>
      <c r="O2451" s="619">
        <v>17</v>
      </c>
      <c r="P2451" s="619" t="s">
        <v>760</v>
      </c>
      <c r="Q2451" s="662"/>
      <c r="R2451" s="618"/>
      <c r="S2451" s="621" t="s">
        <v>3345</v>
      </c>
      <c r="T2451" s="619" t="s">
        <v>1021</v>
      </c>
    </row>
    <row r="2452" spans="1:20">
      <c r="A2452" s="630">
        <v>4422590</v>
      </c>
      <c r="B2452" s="623"/>
      <c r="C2452" s="623"/>
      <c r="D2452" s="623"/>
      <c r="E2452" s="627" t="s">
        <v>1381</v>
      </c>
      <c r="F2452" s="631" t="s">
        <v>3352</v>
      </c>
      <c r="G2452" s="661">
        <v>442</v>
      </c>
      <c r="H2452" s="633">
        <v>2590</v>
      </c>
      <c r="I2452" s="618"/>
      <c r="J2452" s="619" t="s">
        <v>1381</v>
      </c>
      <c r="K2452" s="618"/>
      <c r="L2452" s="619">
        <v>106</v>
      </c>
      <c r="M2452" s="620">
        <v>101</v>
      </c>
      <c r="N2452" s="619"/>
      <c r="O2452" s="619">
        <v>17</v>
      </c>
      <c r="P2452" s="619" t="s">
        <v>760</v>
      </c>
      <c r="Q2452" s="662"/>
      <c r="R2452" s="618"/>
      <c r="S2452" s="621" t="s">
        <v>3345</v>
      </c>
      <c r="T2452" s="619" t="s">
        <v>1383</v>
      </c>
    </row>
    <row r="2453" spans="1:20">
      <c r="A2453" s="630">
        <v>4002590</v>
      </c>
      <c r="B2453" s="623"/>
      <c r="C2453" s="623"/>
      <c r="D2453" s="623"/>
      <c r="E2453" s="627" t="s">
        <v>1118</v>
      </c>
      <c r="F2453" s="631" t="s">
        <v>3353</v>
      </c>
      <c r="G2453" s="661">
        <v>400</v>
      </c>
      <c r="H2453" s="633">
        <v>2590</v>
      </c>
      <c r="I2453" s="618"/>
      <c r="J2453" s="619" t="s">
        <v>1118</v>
      </c>
      <c r="K2453" s="618"/>
      <c r="L2453" s="619">
        <v>108</v>
      </c>
      <c r="M2453" s="620">
        <v>103</v>
      </c>
      <c r="N2453" s="619"/>
      <c r="O2453" s="619">
        <v>17</v>
      </c>
      <c r="P2453" s="619" t="s">
        <v>760</v>
      </c>
      <c r="Q2453" s="662"/>
      <c r="R2453" s="618"/>
      <c r="S2453" s="621" t="s">
        <v>3345</v>
      </c>
      <c r="T2453" s="619" t="s">
        <v>1025</v>
      </c>
    </row>
    <row r="2454" spans="1:20">
      <c r="A2454" s="622"/>
      <c r="B2454" s="623"/>
      <c r="C2454" s="623"/>
      <c r="D2454" s="623" t="s">
        <v>803</v>
      </c>
      <c r="E2454" s="627" t="s">
        <v>252</v>
      </c>
      <c r="F2454" s="626"/>
      <c r="G2454" s="623"/>
      <c r="H2454" s="627"/>
      <c r="I2454" s="618"/>
      <c r="J2454" s="618"/>
      <c r="K2454" s="618"/>
      <c r="L2454" s="618"/>
      <c r="M2454" s="618"/>
      <c r="N2454" s="618"/>
      <c r="O2454" s="618"/>
      <c r="P2454" s="618"/>
      <c r="Q2454" s="662"/>
      <c r="R2454" s="618"/>
      <c r="S2454" s="621"/>
      <c r="T2454" s="618"/>
    </row>
    <row r="2455" spans="1:20">
      <c r="A2455" s="630">
        <v>5502590</v>
      </c>
      <c r="B2455" s="623"/>
      <c r="C2455" s="623"/>
      <c r="D2455" s="623"/>
      <c r="E2455" s="627" t="s">
        <v>3320</v>
      </c>
      <c r="F2455" s="631" t="s">
        <v>3354</v>
      </c>
      <c r="G2455" s="661">
        <v>550</v>
      </c>
      <c r="H2455" s="633">
        <v>2590</v>
      </c>
      <c r="I2455" s="618"/>
      <c r="J2455" s="619" t="s">
        <v>3320</v>
      </c>
      <c r="K2455" s="618"/>
      <c r="L2455" s="619">
        <v>119</v>
      </c>
      <c r="M2455" s="620">
        <v>110</v>
      </c>
      <c r="N2455" s="619"/>
      <c r="O2455" s="619">
        <v>17</v>
      </c>
      <c r="P2455" s="619" t="s">
        <v>760</v>
      </c>
      <c r="Q2455" s="662"/>
      <c r="R2455" s="618"/>
      <c r="S2455" s="621" t="s">
        <v>3345</v>
      </c>
      <c r="T2455" s="619" t="s">
        <v>3322</v>
      </c>
    </row>
    <row r="2456" spans="1:20">
      <c r="A2456" s="630">
        <v>5822590</v>
      </c>
      <c r="B2456" s="623"/>
      <c r="C2456" s="623"/>
      <c r="D2456" s="623"/>
      <c r="E2456" s="627" t="s">
        <v>1134</v>
      </c>
      <c r="F2456" s="631" t="s">
        <v>3355</v>
      </c>
      <c r="G2456" s="661">
        <v>582</v>
      </c>
      <c r="H2456" s="633">
        <v>2590</v>
      </c>
      <c r="I2456" s="618"/>
      <c r="J2456" s="619" t="s">
        <v>1134</v>
      </c>
      <c r="K2456" s="618"/>
      <c r="L2456" s="619">
        <v>118</v>
      </c>
      <c r="M2456" s="620">
        <v>109</v>
      </c>
      <c r="N2456" s="619"/>
      <c r="O2456" s="619">
        <v>17</v>
      </c>
      <c r="P2456" s="619" t="s">
        <v>760</v>
      </c>
      <c r="Q2456" s="662"/>
      <c r="R2456" s="618"/>
      <c r="S2456" s="621" t="s">
        <v>3345</v>
      </c>
      <c r="T2456" s="619" t="s">
        <v>1037</v>
      </c>
    </row>
    <row r="2457" spans="1:20">
      <c r="A2457" s="630">
        <v>5002590</v>
      </c>
      <c r="B2457" s="623"/>
      <c r="C2457" s="623"/>
      <c r="D2457" s="623"/>
      <c r="E2457" s="627" t="s">
        <v>1136</v>
      </c>
      <c r="F2457" s="631" t="s">
        <v>3356</v>
      </c>
      <c r="G2457" s="661">
        <v>500</v>
      </c>
      <c r="H2457" s="633">
        <v>2590</v>
      </c>
      <c r="I2457" s="618"/>
      <c r="J2457" s="619" t="s">
        <v>1136</v>
      </c>
      <c r="K2457" s="618"/>
      <c r="L2457" s="619">
        <v>119</v>
      </c>
      <c r="M2457" s="620">
        <v>110</v>
      </c>
      <c r="N2457" s="619"/>
      <c r="O2457" s="619">
        <v>17</v>
      </c>
      <c r="P2457" s="619" t="s">
        <v>760</v>
      </c>
      <c r="Q2457" s="662"/>
      <c r="R2457" s="618"/>
      <c r="S2457" s="621" t="s">
        <v>3345</v>
      </c>
      <c r="T2457" s="619" t="s">
        <v>252</v>
      </c>
    </row>
    <row r="2458" spans="1:20">
      <c r="A2458" s="622"/>
      <c r="B2458" s="623"/>
      <c r="C2458" s="623"/>
      <c r="D2458" s="623" t="s">
        <v>848</v>
      </c>
      <c r="E2458" s="627" t="s">
        <v>254</v>
      </c>
      <c r="F2458" s="626"/>
      <c r="G2458" s="623"/>
      <c r="H2458" s="627"/>
      <c r="I2458" s="618"/>
      <c r="J2458" s="618"/>
      <c r="K2458" s="618"/>
      <c r="L2458" s="618"/>
      <c r="M2458" s="618"/>
      <c r="N2458" s="618"/>
      <c r="O2458" s="618"/>
      <c r="P2458" s="618"/>
      <c r="Q2458" s="662"/>
      <c r="R2458" s="618"/>
      <c r="S2458" s="621"/>
      <c r="T2458" s="618"/>
    </row>
    <row r="2459" spans="1:20">
      <c r="A2459" s="630">
        <v>6152590</v>
      </c>
      <c r="B2459" s="623"/>
      <c r="C2459" s="623"/>
      <c r="D2459" s="623"/>
      <c r="E2459" s="627" t="s">
        <v>1138</v>
      </c>
      <c r="F2459" s="631" t="s">
        <v>3357</v>
      </c>
      <c r="G2459" s="661">
        <v>615</v>
      </c>
      <c r="H2459" s="633">
        <v>2590</v>
      </c>
      <c r="I2459" s="618"/>
      <c r="J2459" s="619" t="s">
        <v>1138</v>
      </c>
      <c r="K2459" s="618"/>
      <c r="L2459" s="619">
        <v>126</v>
      </c>
      <c r="M2459" s="620">
        <v>117</v>
      </c>
      <c r="N2459" s="619"/>
      <c r="O2459" s="619">
        <v>17</v>
      </c>
      <c r="P2459" s="619" t="s">
        <v>760</v>
      </c>
      <c r="Q2459" s="662" t="s">
        <v>1043</v>
      </c>
      <c r="R2459" s="618"/>
      <c r="S2459" s="621" t="s">
        <v>3345</v>
      </c>
      <c r="T2459" s="619" t="s">
        <v>1041</v>
      </c>
    </row>
    <row r="2460" spans="1:20">
      <c r="A2460" s="630">
        <v>6102590</v>
      </c>
      <c r="B2460" s="623"/>
      <c r="C2460" s="623"/>
      <c r="D2460" s="623"/>
      <c r="E2460" s="627" t="s">
        <v>1140</v>
      </c>
      <c r="F2460" s="631" t="s">
        <v>3358</v>
      </c>
      <c r="G2460" s="661">
        <v>610</v>
      </c>
      <c r="H2460" s="633">
        <v>2590</v>
      </c>
      <c r="I2460" s="618"/>
      <c r="J2460" s="619" t="s">
        <v>1140</v>
      </c>
      <c r="K2460" s="618"/>
      <c r="L2460" s="619">
        <v>122</v>
      </c>
      <c r="M2460" s="620">
        <v>113</v>
      </c>
      <c r="N2460" s="619"/>
      <c r="O2460" s="619">
        <v>17</v>
      </c>
      <c r="P2460" s="619" t="s">
        <v>760</v>
      </c>
      <c r="Q2460" s="662" t="s">
        <v>1043</v>
      </c>
      <c r="R2460" s="618"/>
      <c r="S2460" s="621" t="s">
        <v>3345</v>
      </c>
      <c r="T2460" s="619" t="s">
        <v>39</v>
      </c>
    </row>
    <row r="2461" spans="1:20">
      <c r="A2461" s="630">
        <v>6002590</v>
      </c>
      <c r="B2461" s="623"/>
      <c r="C2461" s="623"/>
      <c r="D2461" s="623"/>
      <c r="E2461" s="627" t="s">
        <v>1869</v>
      </c>
      <c r="F2461" s="631" t="s">
        <v>3359</v>
      </c>
      <c r="G2461" s="661">
        <v>600</v>
      </c>
      <c r="H2461" s="633">
        <v>2590</v>
      </c>
      <c r="I2461" s="618"/>
      <c r="J2461" s="619" t="s">
        <v>1869</v>
      </c>
      <c r="K2461" s="618"/>
      <c r="L2461" s="619">
        <v>126</v>
      </c>
      <c r="M2461" s="620">
        <v>117</v>
      </c>
      <c r="N2461" s="619"/>
      <c r="O2461" s="619">
        <v>17</v>
      </c>
      <c r="P2461" s="619" t="s">
        <v>760</v>
      </c>
      <c r="Q2461" s="662"/>
      <c r="R2461" s="618"/>
      <c r="S2461" s="621" t="s">
        <v>3345</v>
      </c>
      <c r="T2461" s="619" t="s">
        <v>1048</v>
      </c>
    </row>
    <row r="2462" spans="1:20">
      <c r="A2462" s="622"/>
      <c r="B2462" s="623"/>
      <c r="C2462" s="623"/>
      <c r="D2462" s="623" t="s">
        <v>851</v>
      </c>
      <c r="E2462" s="627" t="s">
        <v>1050</v>
      </c>
      <c r="F2462" s="626"/>
      <c r="G2462" s="623"/>
      <c r="H2462" s="627"/>
      <c r="I2462" s="618"/>
      <c r="J2462" s="618"/>
      <c r="K2462" s="618"/>
      <c r="L2462" s="618"/>
      <c r="M2462" s="618"/>
      <c r="N2462" s="618"/>
      <c r="O2462" s="618"/>
      <c r="P2462" s="618"/>
      <c r="Q2462" s="662"/>
      <c r="R2462" s="618"/>
      <c r="S2462" s="621"/>
      <c r="T2462" s="618"/>
    </row>
    <row r="2463" spans="1:20">
      <c r="A2463" s="630">
        <v>7342590</v>
      </c>
      <c r="B2463" s="623"/>
      <c r="C2463" s="623"/>
      <c r="D2463" s="623"/>
      <c r="E2463" s="627" t="s">
        <v>1146</v>
      </c>
      <c r="F2463" s="631" t="s">
        <v>3360</v>
      </c>
      <c r="G2463" s="661">
        <v>734</v>
      </c>
      <c r="H2463" s="633">
        <v>2590</v>
      </c>
      <c r="I2463" s="618"/>
      <c r="J2463" s="619" t="s">
        <v>1146</v>
      </c>
      <c r="K2463" s="618"/>
      <c r="L2463" s="619">
        <v>131</v>
      </c>
      <c r="M2463" s="620">
        <v>122</v>
      </c>
      <c r="N2463" s="619"/>
      <c r="O2463" s="619">
        <v>17</v>
      </c>
      <c r="P2463" s="619" t="s">
        <v>760</v>
      </c>
      <c r="Q2463" s="662"/>
      <c r="R2463" s="618"/>
      <c r="S2463" s="621" t="s">
        <v>3345</v>
      </c>
      <c r="T2463" s="619" t="s">
        <v>1051</v>
      </c>
    </row>
    <row r="2464" spans="1:20">
      <c r="A2464" s="630">
        <v>7352590</v>
      </c>
      <c r="B2464" s="623"/>
      <c r="C2464" s="623"/>
      <c r="D2464" s="623"/>
      <c r="E2464" s="627" t="s">
        <v>1148</v>
      </c>
      <c r="F2464" s="631" t="s">
        <v>3361</v>
      </c>
      <c r="G2464" s="661">
        <v>735</v>
      </c>
      <c r="H2464" s="633">
        <v>2590</v>
      </c>
      <c r="I2464" s="618"/>
      <c r="J2464" s="619" t="s">
        <v>1148</v>
      </c>
      <c r="K2464" s="618"/>
      <c r="L2464" s="619">
        <v>131</v>
      </c>
      <c r="M2464" s="620">
        <v>122</v>
      </c>
      <c r="N2464" s="619"/>
      <c r="O2464" s="619">
        <v>17</v>
      </c>
      <c r="P2464" s="619" t="s">
        <v>760</v>
      </c>
      <c r="Q2464" s="662"/>
      <c r="R2464" s="618"/>
      <c r="S2464" s="621" t="s">
        <v>3345</v>
      </c>
      <c r="T2464" s="619" t="s">
        <v>1053</v>
      </c>
    </row>
    <row r="2465" spans="1:20">
      <c r="A2465" s="630">
        <v>7302590</v>
      </c>
      <c r="B2465" s="623"/>
      <c r="C2465" s="623"/>
      <c r="D2465" s="623"/>
      <c r="E2465" s="627" t="s">
        <v>1150</v>
      </c>
      <c r="F2465" s="631" t="s">
        <v>3362</v>
      </c>
      <c r="G2465" s="661">
        <v>730</v>
      </c>
      <c r="H2465" s="633">
        <v>2590</v>
      </c>
      <c r="I2465" s="618"/>
      <c r="J2465" s="619" t="s">
        <v>1150</v>
      </c>
      <c r="K2465" s="618"/>
      <c r="L2465" s="619">
        <v>131</v>
      </c>
      <c r="M2465" s="620">
        <v>122</v>
      </c>
      <c r="N2465" s="619"/>
      <c r="O2465" s="619">
        <v>17</v>
      </c>
      <c r="P2465" s="619" t="s">
        <v>760</v>
      </c>
      <c r="Q2465" s="662"/>
      <c r="R2465" s="618"/>
      <c r="S2465" s="621" t="s">
        <v>3345</v>
      </c>
      <c r="T2465" s="619" t="s">
        <v>1055</v>
      </c>
    </row>
    <row r="2466" spans="1:20">
      <c r="A2466" s="630">
        <v>7002590</v>
      </c>
      <c r="B2466" s="623"/>
      <c r="C2466" s="623"/>
      <c r="D2466" s="623"/>
      <c r="E2466" s="627" t="s">
        <v>1152</v>
      </c>
      <c r="F2466" s="631" t="s">
        <v>3363</v>
      </c>
      <c r="G2466" s="661">
        <v>700</v>
      </c>
      <c r="H2466" s="633">
        <v>2590</v>
      </c>
      <c r="I2466" s="618"/>
      <c r="J2466" s="619" t="s">
        <v>1152</v>
      </c>
      <c r="K2466" s="618"/>
      <c r="L2466" s="619">
        <v>132</v>
      </c>
      <c r="M2466" s="620">
        <v>123</v>
      </c>
      <c r="N2466" s="619"/>
      <c r="O2466" s="619">
        <v>17</v>
      </c>
      <c r="P2466" s="619" t="s">
        <v>760</v>
      </c>
      <c r="Q2466" s="662"/>
      <c r="R2466" s="618"/>
      <c r="S2466" s="621" t="s">
        <v>3345</v>
      </c>
      <c r="T2466" s="619" t="s">
        <v>1057</v>
      </c>
    </row>
    <row r="2467" spans="1:20">
      <c r="A2467" s="630">
        <v>8002590</v>
      </c>
      <c r="B2467" s="623"/>
      <c r="C2467" s="623"/>
      <c r="D2467" s="623" t="s">
        <v>854</v>
      </c>
      <c r="E2467" s="627" t="s">
        <v>3070</v>
      </c>
      <c r="F2467" s="631" t="s">
        <v>3364</v>
      </c>
      <c r="G2467" s="661">
        <v>800</v>
      </c>
      <c r="H2467" s="633">
        <v>2590</v>
      </c>
      <c r="I2467" s="618"/>
      <c r="J2467" s="619" t="s">
        <v>3070</v>
      </c>
      <c r="K2467" s="618"/>
      <c r="L2467" s="619">
        <v>139</v>
      </c>
      <c r="M2467" s="620">
        <v>129</v>
      </c>
      <c r="N2467" s="619"/>
      <c r="O2467" s="619">
        <v>17</v>
      </c>
      <c r="P2467" s="619" t="s">
        <v>760</v>
      </c>
      <c r="Q2467" s="662"/>
      <c r="R2467" s="618"/>
      <c r="S2467" s="621" t="s">
        <v>3345</v>
      </c>
      <c r="T2467" s="619" t="s">
        <v>3070</v>
      </c>
    </row>
    <row r="2468" spans="1:20">
      <c r="A2468" s="622"/>
      <c r="B2468" s="623"/>
      <c r="C2468" s="623"/>
      <c r="D2468" s="623" t="s">
        <v>857</v>
      </c>
      <c r="E2468" s="627" t="s">
        <v>1063</v>
      </c>
      <c r="F2468" s="626"/>
      <c r="G2468" s="623"/>
      <c r="H2468" s="627"/>
      <c r="I2468" s="618"/>
      <c r="J2468" s="618"/>
      <c r="K2468" s="618"/>
      <c r="L2468" s="618"/>
      <c r="M2468" s="618"/>
      <c r="N2468" s="618"/>
      <c r="O2468" s="618"/>
      <c r="P2468" s="618"/>
      <c r="Q2468" s="662"/>
      <c r="R2468" s="618"/>
      <c r="S2468" s="621"/>
      <c r="T2468" s="618"/>
    </row>
    <row r="2469" spans="1:20">
      <c r="A2469" s="630">
        <v>2102590</v>
      </c>
      <c r="B2469" s="623"/>
      <c r="C2469" s="623"/>
      <c r="D2469" s="623"/>
      <c r="E2469" s="627" t="s">
        <v>1158</v>
      </c>
      <c r="F2469" s="631" t="s">
        <v>3365</v>
      </c>
      <c r="G2469" s="661">
        <v>210</v>
      </c>
      <c r="H2469" s="633">
        <v>2590</v>
      </c>
      <c r="I2469" s="618"/>
      <c r="J2469" s="619" t="s">
        <v>1158</v>
      </c>
      <c r="K2469" s="618"/>
      <c r="L2469" s="619">
        <v>89</v>
      </c>
      <c r="M2469" s="620">
        <v>84</v>
      </c>
      <c r="N2469" s="619"/>
      <c r="O2469" s="619">
        <v>17</v>
      </c>
      <c r="P2469" s="619" t="s">
        <v>760</v>
      </c>
      <c r="Q2469" s="662"/>
      <c r="R2469" s="618"/>
      <c r="S2469" s="621" t="s">
        <v>3345</v>
      </c>
      <c r="T2469" s="619" t="s">
        <v>1064</v>
      </c>
    </row>
    <row r="2470" spans="1:20">
      <c r="A2470" s="630">
        <v>2202590</v>
      </c>
      <c r="B2470" s="623"/>
      <c r="C2470" s="623"/>
      <c r="D2470" s="623"/>
      <c r="E2470" s="627" t="s">
        <v>1160</v>
      </c>
      <c r="F2470" s="631" t="s">
        <v>3366</v>
      </c>
      <c r="G2470" s="661">
        <v>220</v>
      </c>
      <c r="H2470" s="633">
        <v>2590</v>
      </c>
      <c r="I2470" s="618"/>
      <c r="J2470" s="619" t="s">
        <v>1160</v>
      </c>
      <c r="K2470" s="618"/>
      <c r="L2470" s="619">
        <v>90</v>
      </c>
      <c r="M2470" s="620">
        <v>85</v>
      </c>
      <c r="N2470" s="619"/>
      <c r="O2470" s="619">
        <v>17</v>
      </c>
      <c r="P2470" s="619" t="s">
        <v>760</v>
      </c>
      <c r="Q2470" s="662"/>
      <c r="R2470" s="618"/>
      <c r="S2470" s="621" t="s">
        <v>3345</v>
      </c>
      <c r="T2470" s="619" t="s">
        <v>1066</v>
      </c>
    </row>
    <row r="2471" spans="1:20">
      <c r="A2471" s="630">
        <v>2252590</v>
      </c>
      <c r="B2471" s="623"/>
      <c r="C2471" s="623"/>
      <c r="D2471" s="623"/>
      <c r="E2471" s="627" t="s">
        <v>1162</v>
      </c>
      <c r="F2471" s="631" t="s">
        <v>3367</v>
      </c>
      <c r="G2471" s="661">
        <v>225</v>
      </c>
      <c r="H2471" s="633">
        <v>2590</v>
      </c>
      <c r="I2471" s="618"/>
      <c r="J2471" s="619" t="s">
        <v>1162</v>
      </c>
      <c r="K2471" s="618"/>
      <c r="L2471" s="619">
        <v>91</v>
      </c>
      <c r="M2471" s="620">
        <v>86</v>
      </c>
      <c r="N2471" s="619"/>
      <c r="O2471" s="619">
        <v>17</v>
      </c>
      <c r="P2471" s="619" t="s">
        <v>760</v>
      </c>
      <c r="Q2471" s="662"/>
      <c r="R2471" s="618"/>
      <c r="S2471" s="621" t="s">
        <v>3345</v>
      </c>
      <c r="T2471" s="619" t="s">
        <v>23</v>
      </c>
    </row>
    <row r="2472" spans="1:20">
      <c r="A2472" s="622"/>
      <c r="B2472" s="623"/>
      <c r="C2472" s="623"/>
      <c r="D2472" s="623"/>
      <c r="E2472" s="627" t="s">
        <v>1164</v>
      </c>
      <c r="F2472" s="626"/>
      <c r="G2472" s="623"/>
      <c r="H2472" s="627"/>
      <c r="I2472" s="618"/>
      <c r="J2472" s="618"/>
      <c r="K2472" s="618"/>
      <c r="L2472" s="618"/>
      <c r="M2472" s="618"/>
      <c r="N2472" s="618"/>
      <c r="O2472" s="618"/>
      <c r="P2472" s="618"/>
      <c r="Q2472" s="662"/>
      <c r="R2472" s="618"/>
      <c r="S2472" s="621"/>
      <c r="T2472" s="618"/>
    </row>
    <row r="2473" spans="1:20">
      <c r="A2473" s="630">
        <v>2312590</v>
      </c>
      <c r="B2473" s="628"/>
      <c r="C2473" s="623"/>
      <c r="D2473" s="623"/>
      <c r="E2473" s="627" t="s">
        <v>1165</v>
      </c>
      <c r="F2473" s="631" t="s">
        <v>3368</v>
      </c>
      <c r="G2473" s="661">
        <v>231</v>
      </c>
      <c r="H2473" s="633">
        <v>2590</v>
      </c>
      <c r="I2473" s="618"/>
      <c r="J2473" s="619" t="s">
        <v>1165</v>
      </c>
      <c r="K2473" s="618"/>
      <c r="L2473" s="619">
        <v>92</v>
      </c>
      <c r="M2473" s="620">
        <v>87</v>
      </c>
      <c r="N2473" s="619"/>
      <c r="O2473" s="619">
        <v>17</v>
      </c>
      <c r="P2473" s="619" t="s">
        <v>760</v>
      </c>
      <c r="Q2473" s="662"/>
      <c r="R2473" s="618"/>
      <c r="S2473" s="621" t="s">
        <v>3345</v>
      </c>
      <c r="T2473" s="619" t="s">
        <v>1072</v>
      </c>
    </row>
    <row r="2474" spans="1:20">
      <c r="A2474" s="630">
        <v>2332590</v>
      </c>
      <c r="B2474" s="623"/>
      <c r="C2474" s="623"/>
      <c r="D2474" s="623"/>
      <c r="E2474" s="627" t="s">
        <v>1167</v>
      </c>
      <c r="F2474" s="631" t="s">
        <v>3369</v>
      </c>
      <c r="G2474" s="661">
        <v>233</v>
      </c>
      <c r="H2474" s="633">
        <v>2590</v>
      </c>
      <c r="I2474" s="618"/>
      <c r="J2474" s="619" t="s">
        <v>1167</v>
      </c>
      <c r="K2474" s="618"/>
      <c r="L2474" s="619">
        <v>92</v>
      </c>
      <c r="M2474" s="620">
        <v>87</v>
      </c>
      <c r="N2474" s="619"/>
      <c r="O2474" s="619">
        <v>17</v>
      </c>
      <c r="P2474" s="619" t="s">
        <v>760</v>
      </c>
      <c r="Q2474" s="662"/>
      <c r="R2474" s="618"/>
      <c r="S2474" s="621" t="s">
        <v>3345</v>
      </c>
      <c r="T2474" s="619" t="s">
        <v>1169</v>
      </c>
    </row>
    <row r="2475" spans="1:20">
      <c r="A2475" s="630">
        <v>2392590</v>
      </c>
      <c r="B2475" s="623"/>
      <c r="C2475" s="623"/>
      <c r="D2475" s="623"/>
      <c r="E2475" s="627" t="s">
        <v>1170</v>
      </c>
      <c r="F2475" s="631" t="s">
        <v>3370</v>
      </c>
      <c r="G2475" s="661">
        <v>239</v>
      </c>
      <c r="H2475" s="633">
        <v>2590</v>
      </c>
      <c r="I2475" s="618"/>
      <c r="J2475" s="619" t="s">
        <v>1170</v>
      </c>
      <c r="K2475" s="618"/>
      <c r="L2475" s="619">
        <v>92</v>
      </c>
      <c r="M2475" s="620">
        <v>87</v>
      </c>
      <c r="N2475" s="619"/>
      <c r="O2475" s="619">
        <v>17</v>
      </c>
      <c r="P2475" s="619" t="s">
        <v>760</v>
      </c>
      <c r="Q2475" s="662"/>
      <c r="R2475" s="618"/>
      <c r="S2475" s="621" t="s">
        <v>3345</v>
      </c>
      <c r="T2475" s="619" t="s">
        <v>1078</v>
      </c>
    </row>
    <row r="2476" spans="1:20">
      <c r="A2476" s="630">
        <v>2502590</v>
      </c>
      <c r="B2476" s="623"/>
      <c r="C2476" s="623"/>
      <c r="D2476" s="623"/>
      <c r="E2476" s="627" t="s">
        <v>1172</v>
      </c>
      <c r="F2476" s="631" t="s">
        <v>3371</v>
      </c>
      <c r="G2476" s="661">
        <v>250</v>
      </c>
      <c r="H2476" s="633">
        <v>2590</v>
      </c>
      <c r="I2476" s="618"/>
      <c r="J2476" s="619" t="s">
        <v>1172</v>
      </c>
      <c r="K2476" s="618"/>
      <c r="L2476" s="619">
        <v>93</v>
      </c>
      <c r="M2476" s="620">
        <v>88</v>
      </c>
      <c r="N2476" s="619"/>
      <c r="O2476" s="619">
        <v>17</v>
      </c>
      <c r="P2476" s="619" t="s">
        <v>760</v>
      </c>
      <c r="Q2476" s="662"/>
      <c r="R2476" s="618"/>
      <c r="S2476" s="621" t="s">
        <v>3345</v>
      </c>
      <c r="T2476" s="619" t="s">
        <v>1079</v>
      </c>
    </row>
    <row r="2477" spans="1:20">
      <c r="A2477" s="630">
        <v>2602590</v>
      </c>
      <c r="B2477" s="623"/>
      <c r="C2477" s="623"/>
      <c r="D2477" s="623"/>
      <c r="E2477" s="627" t="s">
        <v>1174</v>
      </c>
      <c r="F2477" s="631" t="s">
        <v>3372</v>
      </c>
      <c r="G2477" s="661">
        <v>260</v>
      </c>
      <c r="H2477" s="633">
        <v>2590</v>
      </c>
      <c r="I2477" s="618"/>
      <c r="J2477" s="619" t="s">
        <v>1174</v>
      </c>
      <c r="K2477" s="618"/>
      <c r="L2477" s="619">
        <v>95</v>
      </c>
      <c r="M2477" s="620">
        <v>90</v>
      </c>
      <c r="N2477" s="619"/>
      <c r="O2477" s="619">
        <v>17</v>
      </c>
      <c r="P2477" s="619" t="s">
        <v>760</v>
      </c>
      <c r="Q2477" s="662"/>
      <c r="R2477" s="618"/>
      <c r="S2477" s="621" t="s">
        <v>3345</v>
      </c>
      <c r="T2477" s="619" t="s">
        <v>1081</v>
      </c>
    </row>
    <row r="2478" spans="1:20">
      <c r="A2478" s="630">
        <v>2702590</v>
      </c>
      <c r="B2478" s="623"/>
      <c r="C2478" s="623"/>
      <c r="D2478" s="623"/>
      <c r="E2478" s="627" t="s">
        <v>1176</v>
      </c>
      <c r="F2478" s="631" t="s">
        <v>3373</v>
      </c>
      <c r="G2478" s="661">
        <v>270</v>
      </c>
      <c r="H2478" s="633">
        <v>2590</v>
      </c>
      <c r="I2478" s="618"/>
      <c r="J2478" s="619" t="s">
        <v>1176</v>
      </c>
      <c r="K2478" s="618"/>
      <c r="L2478" s="619">
        <v>94</v>
      </c>
      <c r="M2478" s="620">
        <v>89</v>
      </c>
      <c r="N2478" s="619"/>
      <c r="O2478" s="619">
        <v>17</v>
      </c>
      <c r="P2478" s="619" t="s">
        <v>760</v>
      </c>
      <c r="Q2478" s="662"/>
      <c r="R2478" s="618"/>
      <c r="S2478" s="621" t="s">
        <v>3345</v>
      </c>
      <c r="T2478" s="619" t="s">
        <v>1083</v>
      </c>
    </row>
    <row r="2479" spans="1:20">
      <c r="A2479" s="630">
        <v>2812590</v>
      </c>
      <c r="B2479" s="623"/>
      <c r="C2479" s="623"/>
      <c r="D2479" s="623"/>
      <c r="E2479" s="627" t="s">
        <v>1178</v>
      </c>
      <c r="F2479" s="631" t="s">
        <v>3374</v>
      </c>
      <c r="G2479" s="661">
        <v>281</v>
      </c>
      <c r="H2479" s="633">
        <v>2590</v>
      </c>
      <c r="I2479" s="618"/>
      <c r="J2479" s="619" t="s">
        <v>1178</v>
      </c>
      <c r="K2479" s="618"/>
      <c r="L2479" s="619">
        <v>95</v>
      </c>
      <c r="M2479" s="620">
        <v>90</v>
      </c>
      <c r="N2479" s="619"/>
      <c r="O2479" s="619">
        <v>17</v>
      </c>
      <c r="P2479" s="619" t="s">
        <v>760</v>
      </c>
      <c r="Q2479" s="662"/>
      <c r="R2479" s="618"/>
      <c r="S2479" s="621" t="s">
        <v>3345</v>
      </c>
      <c r="T2479" s="619" t="s">
        <v>1085</v>
      </c>
    </row>
    <row r="2480" spans="1:20">
      <c r="A2480" s="630">
        <v>2822590</v>
      </c>
      <c r="B2480" s="623"/>
      <c r="C2480" s="623"/>
      <c r="D2480" s="623"/>
      <c r="E2480" s="627" t="s">
        <v>1180</v>
      </c>
      <c r="F2480" s="631" t="s">
        <v>3375</v>
      </c>
      <c r="G2480" s="661">
        <v>282</v>
      </c>
      <c r="H2480" s="633">
        <v>2590</v>
      </c>
      <c r="I2480" s="618"/>
      <c r="J2480" s="619" t="s">
        <v>1180</v>
      </c>
      <c r="K2480" s="618"/>
      <c r="L2480" s="619">
        <v>95</v>
      </c>
      <c r="M2480" s="620">
        <v>90</v>
      </c>
      <c r="N2480" s="619"/>
      <c r="O2480" s="619">
        <v>17</v>
      </c>
      <c r="P2480" s="619" t="s">
        <v>760</v>
      </c>
      <c r="Q2480" s="662"/>
      <c r="R2480" s="618"/>
      <c r="S2480" s="621" t="s">
        <v>3345</v>
      </c>
      <c r="T2480" s="619" t="s">
        <v>1087</v>
      </c>
    </row>
    <row r="2481" spans="1:20" ht="16" thickBot="1">
      <c r="A2481" s="630">
        <v>2902590</v>
      </c>
      <c r="B2481" s="623"/>
      <c r="C2481" s="623"/>
      <c r="D2481" s="623"/>
      <c r="E2481" s="627" t="s">
        <v>1182</v>
      </c>
      <c r="F2481" s="631" t="s">
        <v>3376</v>
      </c>
      <c r="G2481" s="661">
        <v>290</v>
      </c>
      <c r="H2481" s="633">
        <v>2590</v>
      </c>
      <c r="I2481" s="618"/>
      <c r="J2481" s="619" t="s">
        <v>1182</v>
      </c>
      <c r="K2481" s="618"/>
      <c r="L2481" s="619">
        <v>95</v>
      </c>
      <c r="M2481" s="620">
        <v>90</v>
      </c>
      <c r="N2481" s="619"/>
      <c r="O2481" s="619">
        <v>17</v>
      </c>
      <c r="P2481" s="619" t="s">
        <v>760</v>
      </c>
      <c r="Q2481" s="662"/>
      <c r="R2481" s="618"/>
      <c r="S2481" s="621" t="s">
        <v>3345</v>
      </c>
      <c r="T2481" s="619" t="s">
        <v>1090</v>
      </c>
    </row>
    <row r="2482" spans="1:20" ht="16.5" thickTop="1" thickBot="1">
      <c r="A2482" s="622"/>
      <c r="B2482" s="657"/>
      <c r="C2482" s="772" t="s">
        <v>3377</v>
      </c>
      <c r="D2482" s="773"/>
      <c r="E2482" s="782"/>
      <c r="F2482" s="656" t="s">
        <v>613</v>
      </c>
      <c r="G2482" s="657"/>
      <c r="H2482" s="658"/>
      <c r="I2482" s="618"/>
      <c r="J2482" s="618"/>
      <c r="K2482" s="618"/>
      <c r="L2482" s="618"/>
      <c r="M2482" s="618"/>
      <c r="N2482" s="618"/>
      <c r="O2482" s="618"/>
      <c r="P2482" s="618"/>
      <c r="Q2482" s="662"/>
      <c r="R2482" s="618"/>
      <c r="S2482" s="621"/>
      <c r="T2482" s="618"/>
    </row>
    <row r="2483" spans="1:20" ht="16" thickTop="1">
      <c r="A2483" s="622"/>
      <c r="B2483" s="623"/>
      <c r="C2483" s="623"/>
      <c r="D2483" s="623"/>
      <c r="E2483" s="627"/>
      <c r="F2483" s="626"/>
      <c r="G2483" s="623"/>
      <c r="H2483" s="627"/>
      <c r="I2483" s="618"/>
      <c r="J2483" s="618"/>
      <c r="K2483" s="618"/>
      <c r="L2483" s="618"/>
      <c r="M2483" s="618"/>
      <c r="N2483" s="618"/>
      <c r="O2483" s="618"/>
      <c r="P2483" s="618"/>
      <c r="Q2483" s="662"/>
      <c r="R2483" s="618"/>
      <c r="S2483" s="621"/>
      <c r="T2483" s="618"/>
    </row>
    <row r="2484" spans="1:20">
      <c r="A2484" s="622"/>
      <c r="B2484" s="628" t="s">
        <v>1797</v>
      </c>
      <c r="C2484" s="770" t="s">
        <v>3378</v>
      </c>
      <c r="D2484" s="771"/>
      <c r="E2484" s="775"/>
      <c r="F2484" s="626"/>
      <c r="G2484" s="623"/>
      <c r="H2484" s="627"/>
      <c r="I2484" s="618"/>
      <c r="J2484" s="618"/>
      <c r="K2484" s="618"/>
      <c r="L2484" s="618"/>
      <c r="M2484" s="618"/>
      <c r="N2484" s="618"/>
      <c r="O2484" s="618"/>
      <c r="P2484" s="618"/>
      <c r="Q2484" s="662"/>
      <c r="R2484" s="618"/>
      <c r="S2484" s="621"/>
      <c r="T2484" s="618"/>
    </row>
    <row r="2485" spans="1:20">
      <c r="A2485" s="622"/>
      <c r="B2485" s="623"/>
      <c r="C2485" s="629">
        <v>75</v>
      </c>
      <c r="D2485" s="774" t="s">
        <v>244</v>
      </c>
      <c r="E2485" s="775"/>
      <c r="F2485" s="626"/>
      <c r="G2485" s="623"/>
      <c r="H2485" s="627"/>
      <c r="I2485" s="618"/>
      <c r="J2485" s="618"/>
      <c r="K2485" s="618"/>
      <c r="L2485" s="618"/>
      <c r="M2485" s="618"/>
      <c r="N2485" s="618"/>
      <c r="O2485" s="618"/>
      <c r="P2485" s="618"/>
      <c r="Q2485" s="662"/>
      <c r="R2485" s="618"/>
      <c r="S2485" s="621"/>
      <c r="T2485" s="618"/>
    </row>
    <row r="2486" spans="1:20">
      <c r="A2486" s="630">
        <v>1112610</v>
      </c>
      <c r="B2486" s="623"/>
      <c r="C2486" s="623"/>
      <c r="D2486" s="623" t="s">
        <v>756</v>
      </c>
      <c r="E2486" s="627" t="s">
        <v>1847</v>
      </c>
      <c r="F2486" s="631" t="s">
        <v>3379</v>
      </c>
      <c r="G2486" s="661">
        <v>111</v>
      </c>
      <c r="H2486" s="633">
        <v>2610</v>
      </c>
      <c r="I2486" s="618"/>
      <c r="J2486" s="619" t="s">
        <v>1847</v>
      </c>
      <c r="K2486" s="618"/>
      <c r="L2486" s="619">
        <v>81</v>
      </c>
      <c r="M2486" s="620">
        <v>76</v>
      </c>
      <c r="N2486" s="619"/>
      <c r="O2486" s="619">
        <v>18</v>
      </c>
      <c r="P2486" s="619" t="s">
        <v>760</v>
      </c>
      <c r="Q2486" s="662" t="s">
        <v>3380</v>
      </c>
      <c r="R2486" s="618"/>
      <c r="S2486" s="621" t="s">
        <v>3381</v>
      </c>
      <c r="T2486" s="619" t="s">
        <v>1847</v>
      </c>
    </row>
    <row r="2487" spans="1:20">
      <c r="A2487" s="630">
        <v>1142610</v>
      </c>
      <c r="B2487" s="623"/>
      <c r="C2487" s="623"/>
      <c r="D2487" s="623" t="s">
        <v>775</v>
      </c>
      <c r="E2487" s="627" t="s">
        <v>1853</v>
      </c>
      <c r="F2487" s="631" t="s">
        <v>3382</v>
      </c>
      <c r="G2487" s="661">
        <v>114</v>
      </c>
      <c r="H2487" s="633">
        <v>2610</v>
      </c>
      <c r="I2487" s="618"/>
      <c r="J2487" s="619" t="s">
        <v>1853</v>
      </c>
      <c r="K2487" s="618"/>
      <c r="L2487" s="619">
        <v>84</v>
      </c>
      <c r="M2487" s="620">
        <v>79</v>
      </c>
      <c r="N2487" s="619"/>
      <c r="O2487" s="619">
        <v>18</v>
      </c>
      <c r="P2487" s="619" t="s">
        <v>760</v>
      </c>
      <c r="Q2487" s="662" t="s">
        <v>3380</v>
      </c>
      <c r="R2487" s="618"/>
      <c r="S2487" s="621" t="s">
        <v>3381</v>
      </c>
      <c r="T2487" s="619" t="s">
        <v>1853</v>
      </c>
    </row>
    <row r="2488" spans="1:20">
      <c r="A2488" s="630">
        <v>1162620</v>
      </c>
      <c r="B2488" s="623"/>
      <c r="C2488" s="623"/>
      <c r="D2488" s="623" t="s">
        <v>799</v>
      </c>
      <c r="E2488" s="627" t="s">
        <v>3383</v>
      </c>
      <c r="F2488" s="631" t="s">
        <v>3384</v>
      </c>
      <c r="G2488" s="661">
        <v>116</v>
      </c>
      <c r="H2488" s="633">
        <v>2620</v>
      </c>
      <c r="I2488" s="618"/>
      <c r="J2488" s="619" t="s">
        <v>3383</v>
      </c>
      <c r="K2488" s="618"/>
      <c r="L2488" s="619">
        <v>85</v>
      </c>
      <c r="M2488" s="620">
        <v>80</v>
      </c>
      <c r="N2488" s="619"/>
      <c r="O2488" s="619">
        <v>18</v>
      </c>
      <c r="P2488" s="619" t="s">
        <v>760</v>
      </c>
      <c r="Q2488" s="662"/>
      <c r="R2488" s="618"/>
      <c r="S2488" s="621" t="s">
        <v>3381</v>
      </c>
      <c r="T2488" s="619" t="s">
        <v>3383</v>
      </c>
    </row>
    <row r="2489" spans="1:20">
      <c r="A2489" s="630">
        <v>1172650</v>
      </c>
      <c r="B2489" s="623"/>
      <c r="C2489" s="623"/>
      <c r="D2489" s="623" t="s">
        <v>803</v>
      </c>
      <c r="E2489" s="627" t="s">
        <v>3385</v>
      </c>
      <c r="F2489" s="631" t="s">
        <v>3386</v>
      </c>
      <c r="G2489" s="661">
        <v>117</v>
      </c>
      <c r="H2489" s="633">
        <v>2650</v>
      </c>
      <c r="I2489" s="618"/>
      <c r="J2489" s="619" t="s">
        <v>3385</v>
      </c>
      <c r="K2489" s="618"/>
      <c r="L2489" s="619">
        <v>86</v>
      </c>
      <c r="M2489" s="620">
        <v>81</v>
      </c>
      <c r="N2489" s="619"/>
      <c r="O2489" s="619">
        <v>18</v>
      </c>
      <c r="P2489" s="619" t="s">
        <v>760</v>
      </c>
      <c r="Q2489" s="662"/>
      <c r="R2489" s="618"/>
      <c r="S2489" s="621" t="s">
        <v>3381</v>
      </c>
      <c r="T2489" s="619" t="s">
        <v>3385</v>
      </c>
    </row>
    <row r="2490" spans="1:20">
      <c r="A2490" s="630">
        <v>1002660</v>
      </c>
      <c r="B2490" s="623"/>
      <c r="C2490" s="623"/>
      <c r="D2490" s="623" t="s">
        <v>848</v>
      </c>
      <c r="E2490" s="627" t="s">
        <v>3387</v>
      </c>
      <c r="F2490" s="631" t="s">
        <v>3388</v>
      </c>
      <c r="G2490" s="661">
        <v>100</v>
      </c>
      <c r="H2490" s="633">
        <v>2660</v>
      </c>
      <c r="I2490" s="618"/>
      <c r="J2490" s="619" t="s">
        <v>3387</v>
      </c>
      <c r="K2490" s="618"/>
      <c r="L2490" s="619">
        <v>86</v>
      </c>
      <c r="M2490" s="620">
        <v>81</v>
      </c>
      <c r="N2490" s="619"/>
      <c r="O2490" s="619">
        <v>18</v>
      </c>
      <c r="P2490" s="619" t="s">
        <v>760</v>
      </c>
      <c r="Q2490" s="662"/>
      <c r="R2490" s="618"/>
      <c r="S2490" s="621" t="s">
        <v>3381</v>
      </c>
      <c r="T2490" s="619" t="s">
        <v>3387</v>
      </c>
    </row>
    <row r="2491" spans="1:20">
      <c r="A2491" s="630">
        <v>1172690</v>
      </c>
      <c r="B2491" s="623"/>
      <c r="C2491" s="623"/>
      <c r="D2491" s="623" t="s">
        <v>851</v>
      </c>
      <c r="E2491" s="627" t="s">
        <v>3389</v>
      </c>
      <c r="F2491" s="631" t="s">
        <v>3390</v>
      </c>
      <c r="G2491" s="661">
        <v>117</v>
      </c>
      <c r="H2491" s="633">
        <v>2690</v>
      </c>
      <c r="I2491" s="618"/>
      <c r="J2491" s="619" t="s">
        <v>3389</v>
      </c>
      <c r="K2491" s="618"/>
      <c r="L2491" s="619">
        <v>86</v>
      </c>
      <c r="M2491" s="620">
        <v>81</v>
      </c>
      <c r="N2491" s="619"/>
      <c r="O2491" s="619">
        <v>18</v>
      </c>
      <c r="P2491" s="619" t="s">
        <v>760</v>
      </c>
      <c r="Q2491" s="662" t="s">
        <v>3380</v>
      </c>
      <c r="R2491" s="618"/>
      <c r="S2491" s="621" t="s">
        <v>3381</v>
      </c>
      <c r="T2491" s="619" t="s">
        <v>3389</v>
      </c>
    </row>
    <row r="2492" spans="1:20">
      <c r="A2492" s="630">
        <v>1202690</v>
      </c>
      <c r="B2492" s="623"/>
      <c r="C2492" s="623"/>
      <c r="D2492" s="623" t="s">
        <v>854</v>
      </c>
      <c r="E2492" s="627" t="s">
        <v>2177</v>
      </c>
      <c r="F2492" s="631" t="s">
        <v>3391</v>
      </c>
      <c r="G2492" s="661">
        <v>120</v>
      </c>
      <c r="H2492" s="633">
        <v>2690</v>
      </c>
      <c r="I2492" s="618"/>
      <c r="J2492" s="619" t="s">
        <v>2177</v>
      </c>
      <c r="K2492" s="618"/>
      <c r="L2492" s="619">
        <v>86</v>
      </c>
      <c r="M2492" s="620">
        <v>81</v>
      </c>
      <c r="N2492" s="619"/>
      <c r="O2492" s="619">
        <v>18</v>
      </c>
      <c r="P2492" s="619" t="s">
        <v>760</v>
      </c>
      <c r="Q2492" s="662" t="s">
        <v>3380</v>
      </c>
      <c r="R2492" s="618"/>
      <c r="S2492" s="621" t="s">
        <v>3381</v>
      </c>
      <c r="T2492" s="619" t="s">
        <v>2177</v>
      </c>
    </row>
    <row r="2493" spans="1:20">
      <c r="A2493" s="630">
        <v>1002690</v>
      </c>
      <c r="B2493" s="623"/>
      <c r="C2493" s="623"/>
      <c r="D2493" s="623" t="s">
        <v>857</v>
      </c>
      <c r="E2493" s="627" t="s">
        <v>3392</v>
      </c>
      <c r="F2493" s="631" t="s">
        <v>3393</v>
      </c>
      <c r="G2493" s="661">
        <v>100</v>
      </c>
      <c r="H2493" s="633">
        <v>2690</v>
      </c>
      <c r="I2493" s="618"/>
      <c r="J2493" s="619" t="s">
        <v>3392</v>
      </c>
      <c r="K2493" s="618"/>
      <c r="L2493" s="619">
        <v>86</v>
      </c>
      <c r="M2493" s="620">
        <v>81</v>
      </c>
      <c r="N2493" s="619"/>
      <c r="O2493" s="619">
        <v>18</v>
      </c>
      <c r="P2493" s="619" t="s">
        <v>760</v>
      </c>
      <c r="Q2493" s="662" t="s">
        <v>3380</v>
      </c>
      <c r="R2493" s="618"/>
      <c r="S2493" s="621" t="s">
        <v>3381</v>
      </c>
      <c r="T2493" s="619" t="s">
        <v>3392</v>
      </c>
    </row>
    <row r="2494" spans="1:20">
      <c r="A2494" s="630">
        <v>1402690</v>
      </c>
      <c r="B2494" s="623"/>
      <c r="C2494" s="623"/>
      <c r="D2494" s="623" t="s">
        <v>860</v>
      </c>
      <c r="E2494" s="627" t="s">
        <v>1017</v>
      </c>
      <c r="F2494" s="631" t="s">
        <v>3394</v>
      </c>
      <c r="G2494" s="661">
        <v>140</v>
      </c>
      <c r="H2494" s="633">
        <v>2690</v>
      </c>
      <c r="I2494" s="618"/>
      <c r="J2494" s="619" t="s">
        <v>1017</v>
      </c>
      <c r="K2494" s="618"/>
      <c r="L2494" s="619">
        <v>86</v>
      </c>
      <c r="M2494" s="620">
        <v>81</v>
      </c>
      <c r="N2494" s="619"/>
      <c r="O2494" s="619">
        <v>18</v>
      </c>
      <c r="P2494" s="619" t="s">
        <v>760</v>
      </c>
      <c r="Q2494" s="662" t="s">
        <v>3380</v>
      </c>
      <c r="R2494" s="618"/>
      <c r="S2494" s="621" t="s">
        <v>3381</v>
      </c>
      <c r="T2494" s="619" t="s">
        <v>1017</v>
      </c>
    </row>
    <row r="2495" spans="1:20">
      <c r="A2495" s="622"/>
      <c r="B2495" s="623"/>
      <c r="C2495" s="629">
        <v>76</v>
      </c>
      <c r="D2495" s="784" t="s">
        <v>3381</v>
      </c>
      <c r="E2495" s="775"/>
      <c r="F2495" s="626"/>
      <c r="G2495" s="623"/>
      <c r="H2495" s="627"/>
      <c r="I2495" s="618"/>
      <c r="J2495" s="618"/>
      <c r="K2495" s="618"/>
      <c r="L2495" s="618"/>
      <c r="M2495" s="618"/>
      <c r="N2495" s="618"/>
      <c r="O2495" s="618"/>
      <c r="P2495" s="618"/>
      <c r="Q2495" s="662"/>
      <c r="R2495" s="618"/>
      <c r="S2495" s="621"/>
      <c r="T2495" s="618"/>
    </row>
    <row r="2496" spans="1:20">
      <c r="A2496" s="630">
        <v>3002620</v>
      </c>
      <c r="B2496" s="623"/>
      <c r="C2496" s="623"/>
      <c r="D2496" s="623" t="s">
        <v>756</v>
      </c>
      <c r="E2496" s="627" t="s">
        <v>1112</v>
      </c>
      <c r="F2496" s="631" t="s">
        <v>3395</v>
      </c>
      <c r="G2496" s="661">
        <v>300</v>
      </c>
      <c r="H2496" s="633">
        <v>2620</v>
      </c>
      <c r="I2496" s="618"/>
      <c r="J2496" s="619" t="s">
        <v>1112</v>
      </c>
      <c r="K2496" s="618"/>
      <c r="L2496" s="619">
        <v>101</v>
      </c>
      <c r="M2496" s="620">
        <v>96</v>
      </c>
      <c r="N2496" s="619"/>
      <c r="O2496" s="619">
        <v>18</v>
      </c>
      <c r="P2496" s="619" t="s">
        <v>760</v>
      </c>
      <c r="Q2496" s="662"/>
      <c r="R2496" s="618"/>
      <c r="S2496" s="621" t="s">
        <v>3381</v>
      </c>
      <c r="T2496" s="619" t="s">
        <v>1112</v>
      </c>
    </row>
    <row r="2497" spans="1:20">
      <c r="A2497" s="622"/>
      <c r="B2497" s="623"/>
      <c r="C2497" s="623"/>
      <c r="D2497" s="623" t="s">
        <v>775</v>
      </c>
      <c r="E2497" s="627" t="s">
        <v>250</v>
      </c>
      <c r="F2497" s="626"/>
      <c r="G2497" s="623"/>
      <c r="H2497" s="627"/>
      <c r="I2497" s="618"/>
      <c r="J2497" s="618"/>
      <c r="K2497" s="618"/>
      <c r="L2497" s="618"/>
      <c r="M2497" s="618"/>
      <c r="N2497" s="618"/>
      <c r="O2497" s="618"/>
      <c r="P2497" s="618"/>
      <c r="Q2497" s="662"/>
      <c r="R2497" s="618"/>
      <c r="S2497" s="621"/>
      <c r="T2497" s="618"/>
    </row>
    <row r="2498" spans="1:20">
      <c r="A2498" s="630">
        <v>4112620</v>
      </c>
      <c r="B2498" s="623"/>
      <c r="C2498" s="623"/>
      <c r="D2498" s="623"/>
      <c r="E2498" s="627" t="s">
        <v>3396</v>
      </c>
      <c r="F2498" s="631" t="s">
        <v>3397</v>
      </c>
      <c r="G2498" s="661">
        <v>411</v>
      </c>
      <c r="H2498" s="633">
        <v>2620</v>
      </c>
      <c r="I2498" s="618"/>
      <c r="J2498" s="619" t="s">
        <v>3396</v>
      </c>
      <c r="K2498" s="618"/>
      <c r="L2498" s="619">
        <v>104</v>
      </c>
      <c r="M2498" s="620">
        <v>99</v>
      </c>
      <c r="N2498" s="619"/>
      <c r="O2498" s="619">
        <v>18</v>
      </c>
      <c r="P2498" s="619" t="s">
        <v>760</v>
      </c>
      <c r="Q2498" s="662"/>
      <c r="R2498" s="618"/>
      <c r="S2498" s="621" t="s">
        <v>3381</v>
      </c>
      <c r="T2498" s="619" t="s">
        <v>3398</v>
      </c>
    </row>
    <row r="2499" spans="1:20">
      <c r="A2499" s="630">
        <v>4212620</v>
      </c>
      <c r="B2499" s="623"/>
      <c r="C2499" s="623"/>
      <c r="D2499" s="623"/>
      <c r="E2499" s="627" t="s">
        <v>3399</v>
      </c>
      <c r="F2499" s="631" t="s">
        <v>3400</v>
      </c>
      <c r="G2499" s="661">
        <v>421</v>
      </c>
      <c r="H2499" s="633">
        <v>2620</v>
      </c>
      <c r="I2499" s="618"/>
      <c r="J2499" s="619" t="s">
        <v>3399</v>
      </c>
      <c r="K2499" s="618"/>
      <c r="L2499" s="619">
        <v>108</v>
      </c>
      <c r="M2499" s="620">
        <v>103</v>
      </c>
      <c r="N2499" s="619"/>
      <c r="O2499" s="619">
        <v>18</v>
      </c>
      <c r="P2499" s="619" t="s">
        <v>760</v>
      </c>
      <c r="Q2499" s="662" t="s">
        <v>3380</v>
      </c>
      <c r="R2499" s="618"/>
      <c r="S2499" s="621" t="s">
        <v>3381</v>
      </c>
      <c r="T2499" s="619" t="s">
        <v>3401</v>
      </c>
    </row>
    <row r="2500" spans="1:20">
      <c r="A2500" s="630">
        <v>4232620</v>
      </c>
      <c r="B2500" s="623"/>
      <c r="C2500" s="623"/>
      <c r="D2500" s="623"/>
      <c r="E2500" s="627" t="s">
        <v>3402</v>
      </c>
      <c r="F2500" s="631" t="s">
        <v>3403</v>
      </c>
      <c r="G2500" s="661">
        <v>423</v>
      </c>
      <c r="H2500" s="633">
        <v>2620</v>
      </c>
      <c r="I2500" s="618"/>
      <c r="J2500" s="619" t="s">
        <v>3402</v>
      </c>
      <c r="K2500" s="618"/>
      <c r="L2500" s="619">
        <v>108</v>
      </c>
      <c r="M2500" s="620">
        <v>103</v>
      </c>
      <c r="N2500" s="619"/>
      <c r="O2500" s="619">
        <v>18</v>
      </c>
      <c r="P2500" s="619" t="s">
        <v>760</v>
      </c>
      <c r="Q2500" s="678"/>
      <c r="R2500" s="618"/>
      <c r="S2500" s="621" t="s">
        <v>3381</v>
      </c>
      <c r="T2500" s="619" t="s">
        <v>3404</v>
      </c>
    </row>
    <row r="2501" spans="1:20">
      <c r="A2501" s="630">
        <v>4302620</v>
      </c>
      <c r="B2501" s="623"/>
      <c r="C2501" s="623"/>
      <c r="D2501" s="623"/>
      <c r="E2501" s="627" t="s">
        <v>3405</v>
      </c>
      <c r="F2501" s="631" t="s">
        <v>3406</v>
      </c>
      <c r="G2501" s="661">
        <v>430</v>
      </c>
      <c r="H2501" s="633">
        <v>2620</v>
      </c>
      <c r="I2501" s="618"/>
      <c r="J2501" s="619" t="s">
        <v>3405</v>
      </c>
      <c r="K2501" s="618"/>
      <c r="L2501" s="619">
        <v>107</v>
      </c>
      <c r="M2501" s="620">
        <v>102</v>
      </c>
      <c r="N2501" s="619"/>
      <c r="O2501" s="619">
        <v>18</v>
      </c>
      <c r="P2501" s="619" t="s">
        <v>760</v>
      </c>
      <c r="Q2501" s="662" t="s">
        <v>3380</v>
      </c>
      <c r="R2501" s="618"/>
      <c r="S2501" s="621" t="s">
        <v>3381</v>
      </c>
      <c r="T2501" s="619" t="s">
        <v>1021</v>
      </c>
    </row>
    <row r="2502" spans="1:20">
      <c r="A2502" s="630">
        <v>4412620</v>
      </c>
      <c r="B2502" s="623"/>
      <c r="C2502" s="623"/>
      <c r="D2502" s="623"/>
      <c r="E2502" s="627" t="s">
        <v>3407</v>
      </c>
      <c r="F2502" s="631" t="s">
        <v>3408</v>
      </c>
      <c r="G2502" s="661">
        <v>441</v>
      </c>
      <c r="H2502" s="633">
        <v>2620</v>
      </c>
      <c r="I2502" s="618"/>
      <c r="J2502" s="619" t="s">
        <v>3407</v>
      </c>
      <c r="K2502" s="618"/>
      <c r="L2502" s="619">
        <v>105</v>
      </c>
      <c r="M2502" s="620">
        <v>100</v>
      </c>
      <c r="N2502" s="619"/>
      <c r="O2502" s="619">
        <v>18</v>
      </c>
      <c r="P2502" s="619" t="s">
        <v>760</v>
      </c>
      <c r="Q2502" s="662" t="s">
        <v>3380</v>
      </c>
      <c r="R2502" s="618"/>
      <c r="S2502" s="621" t="s">
        <v>3381</v>
      </c>
      <c r="T2502" s="619" t="s">
        <v>3409</v>
      </c>
    </row>
    <row r="2503" spans="1:20">
      <c r="A2503" s="630">
        <v>4422620</v>
      </c>
      <c r="B2503" s="623"/>
      <c r="C2503" s="623"/>
      <c r="D2503" s="623"/>
      <c r="E2503" s="627" t="s">
        <v>3410</v>
      </c>
      <c r="F2503" s="631" t="s">
        <v>3411</v>
      </c>
      <c r="G2503" s="661">
        <v>442</v>
      </c>
      <c r="H2503" s="633">
        <v>2620</v>
      </c>
      <c r="I2503" s="618"/>
      <c r="J2503" s="619" t="s">
        <v>3410</v>
      </c>
      <c r="K2503" s="618"/>
      <c r="L2503" s="619">
        <v>106</v>
      </c>
      <c r="M2503" s="620">
        <v>101</v>
      </c>
      <c r="N2503" s="619"/>
      <c r="O2503" s="619">
        <v>18</v>
      </c>
      <c r="P2503" s="619" t="s">
        <v>760</v>
      </c>
      <c r="Q2503" s="662" t="s">
        <v>3380</v>
      </c>
      <c r="R2503" s="618"/>
      <c r="S2503" s="621" t="s">
        <v>3381</v>
      </c>
      <c r="T2503" s="619" t="s">
        <v>1383</v>
      </c>
    </row>
    <row r="2504" spans="1:20">
      <c r="A2504" s="630">
        <v>4002620</v>
      </c>
      <c r="B2504" s="623"/>
      <c r="C2504" s="623"/>
      <c r="D2504" s="623"/>
      <c r="E2504" s="627" t="s">
        <v>3412</v>
      </c>
      <c r="F2504" s="631" t="s">
        <v>3413</v>
      </c>
      <c r="G2504" s="661">
        <v>400</v>
      </c>
      <c r="H2504" s="633">
        <v>2620</v>
      </c>
      <c r="I2504" s="618"/>
      <c r="J2504" s="619" t="s">
        <v>3412</v>
      </c>
      <c r="K2504" s="618"/>
      <c r="L2504" s="619">
        <v>108</v>
      </c>
      <c r="M2504" s="620">
        <v>103</v>
      </c>
      <c r="N2504" s="619"/>
      <c r="O2504" s="619">
        <v>18</v>
      </c>
      <c r="P2504" s="619" t="s">
        <v>760</v>
      </c>
      <c r="Q2504" s="662"/>
      <c r="R2504" s="618"/>
      <c r="S2504" s="621" t="s">
        <v>3381</v>
      </c>
      <c r="T2504" s="619" t="s">
        <v>1025</v>
      </c>
    </row>
    <row r="2505" spans="1:20">
      <c r="A2505" s="622"/>
      <c r="B2505" s="623"/>
      <c r="C2505" s="623"/>
      <c r="D2505" s="623" t="s">
        <v>799</v>
      </c>
      <c r="E2505" s="627" t="s">
        <v>252</v>
      </c>
      <c r="F2505" s="626"/>
      <c r="G2505" s="623"/>
      <c r="H2505" s="627"/>
      <c r="I2505" s="618"/>
      <c r="J2505" s="618"/>
      <c r="K2505" s="618"/>
      <c r="L2505" s="618"/>
      <c r="M2505" s="618"/>
      <c r="N2505" s="618"/>
      <c r="O2505" s="618"/>
      <c r="P2505" s="618"/>
      <c r="Q2505" s="662"/>
      <c r="R2505" s="618"/>
      <c r="S2505" s="621"/>
      <c r="T2505" s="618"/>
    </row>
    <row r="2506" spans="1:20">
      <c r="A2506" s="630">
        <v>5222620</v>
      </c>
      <c r="B2506" s="623"/>
      <c r="C2506" s="623"/>
      <c r="D2506" s="623"/>
      <c r="E2506" s="627" t="s">
        <v>3414</v>
      </c>
      <c r="F2506" s="631" t="s">
        <v>3415</v>
      </c>
      <c r="G2506" s="661">
        <v>522</v>
      </c>
      <c r="H2506" s="633">
        <v>2620</v>
      </c>
      <c r="I2506" s="618"/>
      <c r="J2506" s="619" t="s">
        <v>3414</v>
      </c>
      <c r="K2506" s="618"/>
      <c r="L2506" s="619">
        <v>112</v>
      </c>
      <c r="M2506" s="620">
        <v>107</v>
      </c>
      <c r="N2506" s="619"/>
      <c r="O2506" s="619">
        <v>18</v>
      </c>
      <c r="P2506" s="619" t="s">
        <v>760</v>
      </c>
      <c r="Q2506" s="662" t="s">
        <v>3380</v>
      </c>
      <c r="R2506" s="618"/>
      <c r="S2506" s="621" t="s">
        <v>3381</v>
      </c>
      <c r="T2506" s="619" t="s">
        <v>146</v>
      </c>
    </row>
    <row r="2507" spans="1:20">
      <c r="A2507" s="630">
        <v>5302620</v>
      </c>
      <c r="B2507" s="623"/>
      <c r="C2507" s="623"/>
      <c r="D2507" s="623"/>
      <c r="E2507" s="627" t="s">
        <v>3017</v>
      </c>
      <c r="F2507" s="631" t="s">
        <v>3416</v>
      </c>
      <c r="G2507" s="661">
        <v>530</v>
      </c>
      <c r="H2507" s="633">
        <v>2620</v>
      </c>
      <c r="I2507" s="618"/>
      <c r="J2507" s="619" t="s">
        <v>3017</v>
      </c>
      <c r="K2507" s="618"/>
      <c r="L2507" s="619">
        <v>119</v>
      </c>
      <c r="M2507" s="620">
        <v>110</v>
      </c>
      <c r="N2507" s="619"/>
      <c r="O2507" s="619">
        <v>18</v>
      </c>
      <c r="P2507" s="619" t="s">
        <v>760</v>
      </c>
      <c r="Q2507" s="662" t="s">
        <v>3380</v>
      </c>
      <c r="R2507" s="618"/>
      <c r="S2507" s="621" t="s">
        <v>3381</v>
      </c>
      <c r="T2507" s="619" t="s">
        <v>3019</v>
      </c>
    </row>
    <row r="2508" spans="1:20">
      <c r="A2508" s="630">
        <v>5822620</v>
      </c>
      <c r="B2508" s="623"/>
      <c r="C2508" s="623"/>
      <c r="D2508" s="623"/>
      <c r="E2508" s="627" t="s">
        <v>1392</v>
      </c>
      <c r="F2508" s="631" t="s">
        <v>3417</v>
      </c>
      <c r="G2508" s="661">
        <v>582</v>
      </c>
      <c r="H2508" s="633">
        <v>2620</v>
      </c>
      <c r="I2508" s="618"/>
      <c r="J2508" s="619" t="s">
        <v>1392</v>
      </c>
      <c r="K2508" s="618"/>
      <c r="L2508" s="619">
        <v>118</v>
      </c>
      <c r="M2508" s="620">
        <v>109</v>
      </c>
      <c r="N2508" s="619"/>
      <c r="O2508" s="619">
        <v>18</v>
      </c>
      <c r="P2508" s="619" t="s">
        <v>760</v>
      </c>
      <c r="Q2508" s="662" t="s">
        <v>3380</v>
      </c>
      <c r="R2508" s="618"/>
      <c r="S2508" s="621" t="s">
        <v>3381</v>
      </c>
      <c r="T2508" s="619" t="s">
        <v>1037</v>
      </c>
    </row>
    <row r="2509" spans="1:20">
      <c r="A2509" s="630">
        <v>5002620</v>
      </c>
      <c r="B2509" s="623"/>
      <c r="C2509" s="623"/>
      <c r="D2509" s="623"/>
      <c r="E2509" s="627" t="s">
        <v>1394</v>
      </c>
      <c r="F2509" s="631" t="s">
        <v>3418</v>
      </c>
      <c r="G2509" s="661">
        <v>500</v>
      </c>
      <c r="H2509" s="633">
        <v>2620</v>
      </c>
      <c r="I2509" s="618"/>
      <c r="J2509" s="619" t="s">
        <v>1394</v>
      </c>
      <c r="K2509" s="618"/>
      <c r="L2509" s="619">
        <v>119</v>
      </c>
      <c r="M2509" s="620">
        <v>110</v>
      </c>
      <c r="N2509" s="619"/>
      <c r="O2509" s="619">
        <v>18</v>
      </c>
      <c r="P2509" s="619" t="s">
        <v>760</v>
      </c>
      <c r="Q2509" s="662" t="s">
        <v>3380</v>
      </c>
      <c r="R2509" s="618"/>
      <c r="S2509" s="621" t="s">
        <v>3381</v>
      </c>
      <c r="T2509" s="619" t="s">
        <v>252</v>
      </c>
    </row>
    <row r="2510" spans="1:20">
      <c r="A2510" s="622"/>
      <c r="B2510" s="623"/>
      <c r="C2510" s="623"/>
      <c r="D2510" s="623" t="s">
        <v>803</v>
      </c>
      <c r="E2510" s="627" t="s">
        <v>254</v>
      </c>
      <c r="F2510" s="626"/>
      <c r="G2510" s="623"/>
      <c r="H2510" s="627"/>
      <c r="I2510" s="618"/>
      <c r="J2510" s="618"/>
      <c r="K2510" s="618"/>
      <c r="L2510" s="618"/>
      <c r="M2510" s="618"/>
      <c r="N2510" s="618"/>
      <c r="O2510" s="618"/>
      <c r="P2510" s="618"/>
      <c r="Q2510" s="662"/>
      <c r="R2510" s="618"/>
      <c r="S2510" s="621"/>
      <c r="T2510" s="618"/>
    </row>
    <row r="2511" spans="1:20">
      <c r="A2511" s="630">
        <v>6102620</v>
      </c>
      <c r="B2511" s="623"/>
      <c r="C2511" s="623"/>
      <c r="D2511" s="623"/>
      <c r="E2511" s="627" t="s">
        <v>3419</v>
      </c>
      <c r="F2511" s="631" t="s">
        <v>3420</v>
      </c>
      <c r="G2511" s="661">
        <v>610</v>
      </c>
      <c r="H2511" s="633">
        <v>2620</v>
      </c>
      <c r="I2511" s="618"/>
      <c r="J2511" s="619" t="s">
        <v>3419</v>
      </c>
      <c r="K2511" s="618"/>
      <c r="L2511" s="619">
        <v>122</v>
      </c>
      <c r="M2511" s="620">
        <v>113</v>
      </c>
      <c r="N2511" s="619"/>
      <c r="O2511" s="619">
        <v>18</v>
      </c>
      <c r="P2511" s="619" t="s">
        <v>760</v>
      </c>
      <c r="Q2511" s="662" t="s">
        <v>3380</v>
      </c>
      <c r="R2511" s="618"/>
      <c r="S2511" s="621" t="s">
        <v>3381</v>
      </c>
      <c r="T2511" s="619" t="s">
        <v>39</v>
      </c>
    </row>
    <row r="2512" spans="1:20">
      <c r="A2512" s="630">
        <v>6152620</v>
      </c>
      <c r="B2512" s="623"/>
      <c r="C2512" s="623"/>
      <c r="D2512" s="623"/>
      <c r="E2512" s="627" t="s">
        <v>3421</v>
      </c>
      <c r="F2512" s="631" t="s">
        <v>3422</v>
      </c>
      <c r="G2512" s="661">
        <v>615</v>
      </c>
      <c r="H2512" s="633">
        <v>2620</v>
      </c>
      <c r="I2512" s="618"/>
      <c r="J2512" s="619" t="s">
        <v>3421</v>
      </c>
      <c r="K2512" s="618"/>
      <c r="L2512" s="619">
        <v>126</v>
      </c>
      <c r="M2512" s="620">
        <v>117</v>
      </c>
      <c r="N2512" s="619"/>
      <c r="O2512" s="619">
        <v>18</v>
      </c>
      <c r="P2512" s="619" t="s">
        <v>760</v>
      </c>
      <c r="Q2512" s="662" t="s">
        <v>3380</v>
      </c>
      <c r="R2512" s="618"/>
      <c r="S2512" s="621" t="s">
        <v>3381</v>
      </c>
      <c r="T2512" s="619" t="s">
        <v>1041</v>
      </c>
    </row>
    <row r="2513" spans="1:20">
      <c r="A2513" s="630">
        <v>6212620</v>
      </c>
      <c r="B2513" s="623"/>
      <c r="C2513" s="623"/>
      <c r="D2513" s="623"/>
      <c r="E2513" s="627" t="s">
        <v>3423</v>
      </c>
      <c r="F2513" s="631" t="s">
        <v>3424</v>
      </c>
      <c r="G2513" s="661">
        <v>621</v>
      </c>
      <c r="H2513" s="633">
        <v>2620</v>
      </c>
      <c r="I2513" s="618"/>
      <c r="J2513" s="619" t="s">
        <v>3423</v>
      </c>
      <c r="K2513" s="618"/>
      <c r="L2513" s="619">
        <v>123</v>
      </c>
      <c r="M2513" s="620">
        <v>114</v>
      </c>
      <c r="N2513" s="619"/>
      <c r="O2513" s="619">
        <v>18</v>
      </c>
      <c r="P2513" s="619" t="s">
        <v>760</v>
      </c>
      <c r="Q2513" s="662"/>
      <c r="R2513" s="618"/>
      <c r="S2513" s="621" t="s">
        <v>3381</v>
      </c>
      <c r="T2513" s="619" t="s">
        <v>3425</v>
      </c>
    </row>
    <row r="2514" spans="1:20">
      <c r="A2514" s="630">
        <v>6222620</v>
      </c>
      <c r="B2514" s="623"/>
      <c r="C2514" s="623"/>
      <c r="D2514" s="623"/>
      <c r="E2514" s="627" t="s">
        <v>3426</v>
      </c>
      <c r="F2514" s="631" t="s">
        <v>3427</v>
      </c>
      <c r="G2514" s="661">
        <v>622</v>
      </c>
      <c r="H2514" s="633">
        <v>2620</v>
      </c>
      <c r="I2514" s="618"/>
      <c r="J2514" s="619" t="s">
        <v>3426</v>
      </c>
      <c r="K2514" s="618"/>
      <c r="L2514" s="619">
        <v>123</v>
      </c>
      <c r="M2514" s="620">
        <v>114</v>
      </c>
      <c r="N2514" s="619"/>
      <c r="O2514" s="619">
        <v>18</v>
      </c>
      <c r="P2514" s="619" t="s">
        <v>760</v>
      </c>
      <c r="Q2514" s="662"/>
      <c r="R2514" s="618"/>
      <c r="S2514" s="621" t="s">
        <v>3381</v>
      </c>
      <c r="T2514" s="619" t="s">
        <v>3428</v>
      </c>
    </row>
    <row r="2515" spans="1:20">
      <c r="A2515" s="630">
        <v>6002620</v>
      </c>
      <c r="B2515" s="623"/>
      <c r="C2515" s="623"/>
      <c r="D2515" s="623"/>
      <c r="E2515" s="627" t="s">
        <v>1403</v>
      </c>
      <c r="F2515" s="631" t="s">
        <v>3429</v>
      </c>
      <c r="G2515" s="661">
        <v>600</v>
      </c>
      <c r="H2515" s="633">
        <v>2620</v>
      </c>
      <c r="I2515" s="618"/>
      <c r="J2515" s="619" t="s">
        <v>1403</v>
      </c>
      <c r="K2515" s="618"/>
      <c r="L2515" s="619">
        <v>126</v>
      </c>
      <c r="M2515" s="620">
        <v>117</v>
      </c>
      <c r="N2515" s="619"/>
      <c r="O2515" s="619">
        <v>18</v>
      </c>
      <c r="P2515" s="619" t="s">
        <v>760</v>
      </c>
      <c r="Q2515" s="662" t="s">
        <v>3380</v>
      </c>
      <c r="R2515" s="618"/>
      <c r="S2515" s="621" t="s">
        <v>3381</v>
      </c>
      <c r="T2515" s="619" t="s">
        <v>1048</v>
      </c>
    </row>
    <row r="2516" spans="1:20">
      <c r="A2516" s="622"/>
      <c r="B2516" s="623"/>
      <c r="C2516" s="623"/>
      <c r="D2516" s="623" t="s">
        <v>848</v>
      </c>
      <c r="E2516" s="627" t="s">
        <v>1050</v>
      </c>
      <c r="F2516" s="626"/>
      <c r="G2516" s="623"/>
      <c r="H2516" s="627"/>
      <c r="I2516" s="618"/>
      <c r="J2516" s="618"/>
      <c r="K2516" s="618"/>
      <c r="L2516" s="618"/>
      <c r="M2516" s="618"/>
      <c r="N2516" s="618"/>
      <c r="O2516" s="618"/>
      <c r="P2516" s="618"/>
      <c r="Q2516" s="662"/>
      <c r="R2516" s="618"/>
      <c r="S2516" s="621"/>
      <c r="T2516" s="618"/>
    </row>
    <row r="2517" spans="1:20">
      <c r="A2517" s="630">
        <v>7342620</v>
      </c>
      <c r="B2517" s="623"/>
      <c r="C2517" s="623"/>
      <c r="D2517" s="623"/>
      <c r="E2517" s="627" t="s">
        <v>1146</v>
      </c>
      <c r="F2517" s="631" t="s">
        <v>3430</v>
      </c>
      <c r="G2517" s="661">
        <v>734</v>
      </c>
      <c r="H2517" s="633">
        <v>2620</v>
      </c>
      <c r="I2517" s="618"/>
      <c r="J2517" s="619" t="s">
        <v>1146</v>
      </c>
      <c r="K2517" s="618"/>
      <c r="L2517" s="619">
        <v>131</v>
      </c>
      <c r="M2517" s="620">
        <v>122</v>
      </c>
      <c r="N2517" s="619"/>
      <c r="O2517" s="619">
        <v>18</v>
      </c>
      <c r="P2517" s="619" t="s">
        <v>760</v>
      </c>
      <c r="Q2517" s="662"/>
      <c r="R2517" s="618"/>
      <c r="S2517" s="621" t="s">
        <v>3381</v>
      </c>
      <c r="T2517" s="619" t="s">
        <v>1051</v>
      </c>
    </row>
    <row r="2518" spans="1:20">
      <c r="A2518" s="630">
        <v>7352620</v>
      </c>
      <c r="B2518" s="623"/>
      <c r="C2518" s="623"/>
      <c r="D2518" s="623"/>
      <c r="E2518" s="627" t="s">
        <v>1148</v>
      </c>
      <c r="F2518" s="631" t="s">
        <v>3431</v>
      </c>
      <c r="G2518" s="661">
        <v>735</v>
      </c>
      <c r="H2518" s="633">
        <v>2620</v>
      </c>
      <c r="I2518" s="618"/>
      <c r="J2518" s="619" t="s">
        <v>1148</v>
      </c>
      <c r="K2518" s="618"/>
      <c r="L2518" s="619">
        <v>131</v>
      </c>
      <c r="M2518" s="620">
        <v>122</v>
      </c>
      <c r="N2518" s="619"/>
      <c r="O2518" s="619">
        <v>18</v>
      </c>
      <c r="P2518" s="619" t="s">
        <v>760</v>
      </c>
      <c r="Q2518" s="662"/>
      <c r="R2518" s="618"/>
      <c r="S2518" s="621" t="s">
        <v>3381</v>
      </c>
      <c r="T2518" s="619" t="s">
        <v>1053</v>
      </c>
    </row>
    <row r="2519" spans="1:20">
      <c r="A2519" s="630">
        <v>7302620</v>
      </c>
      <c r="B2519" s="623"/>
      <c r="C2519" s="623"/>
      <c r="D2519" s="623"/>
      <c r="E2519" s="627" t="s">
        <v>1150</v>
      </c>
      <c r="F2519" s="631" t="s">
        <v>3432</v>
      </c>
      <c r="G2519" s="661">
        <v>730</v>
      </c>
      <c r="H2519" s="633">
        <v>2620</v>
      </c>
      <c r="I2519" s="618"/>
      <c r="J2519" s="619" t="s">
        <v>1150</v>
      </c>
      <c r="K2519" s="618"/>
      <c r="L2519" s="619">
        <v>131</v>
      </c>
      <c r="M2519" s="620">
        <v>122</v>
      </c>
      <c r="N2519" s="619"/>
      <c r="O2519" s="619">
        <v>18</v>
      </c>
      <c r="P2519" s="619" t="s">
        <v>760</v>
      </c>
      <c r="Q2519" s="662"/>
      <c r="R2519" s="618"/>
      <c r="S2519" s="621" t="s">
        <v>3381</v>
      </c>
      <c r="T2519" s="619" t="s">
        <v>1055</v>
      </c>
    </row>
    <row r="2520" spans="1:20">
      <c r="A2520" s="630">
        <v>7002620</v>
      </c>
      <c r="B2520" s="623"/>
      <c r="C2520" s="623"/>
      <c r="D2520" s="623"/>
      <c r="E2520" s="627" t="s">
        <v>1152</v>
      </c>
      <c r="F2520" s="631" t="s">
        <v>3433</v>
      </c>
      <c r="G2520" s="661">
        <v>700</v>
      </c>
      <c r="H2520" s="633">
        <v>2620</v>
      </c>
      <c r="I2520" s="618"/>
      <c r="J2520" s="619" t="s">
        <v>1152</v>
      </c>
      <c r="K2520" s="618"/>
      <c r="L2520" s="619">
        <v>132</v>
      </c>
      <c r="M2520" s="620">
        <v>123</v>
      </c>
      <c r="N2520" s="619"/>
      <c r="O2520" s="619">
        <v>18</v>
      </c>
      <c r="P2520" s="619" t="s">
        <v>760</v>
      </c>
      <c r="Q2520" s="662"/>
      <c r="R2520" s="618"/>
      <c r="S2520" s="621" t="s">
        <v>3381</v>
      </c>
      <c r="T2520" s="619" t="s">
        <v>1057</v>
      </c>
    </row>
    <row r="2521" spans="1:20">
      <c r="A2521" s="630">
        <v>8002620</v>
      </c>
      <c r="B2521" s="623"/>
      <c r="C2521" s="623"/>
      <c r="D2521" s="623" t="s">
        <v>851</v>
      </c>
      <c r="E2521" s="627" t="s">
        <v>3070</v>
      </c>
      <c r="F2521" s="631" t="s">
        <v>3434</v>
      </c>
      <c r="G2521" s="661">
        <v>800</v>
      </c>
      <c r="H2521" s="633">
        <v>2620</v>
      </c>
      <c r="I2521" s="618"/>
      <c r="J2521" s="619" t="s">
        <v>3070</v>
      </c>
      <c r="K2521" s="618"/>
      <c r="L2521" s="619">
        <v>139</v>
      </c>
      <c r="M2521" s="620">
        <v>129</v>
      </c>
      <c r="N2521" s="619"/>
      <c r="O2521" s="619">
        <v>18</v>
      </c>
      <c r="P2521" s="619" t="s">
        <v>760</v>
      </c>
      <c r="Q2521" s="662" t="s">
        <v>3380</v>
      </c>
      <c r="R2521" s="618"/>
      <c r="S2521" s="621" t="s">
        <v>3381</v>
      </c>
      <c r="T2521" s="619" t="s">
        <v>3070</v>
      </c>
    </row>
    <row r="2522" spans="1:20">
      <c r="A2522" s="622"/>
      <c r="B2522" s="623"/>
      <c r="C2522" s="629">
        <v>77</v>
      </c>
      <c r="D2522" s="784" t="s">
        <v>3435</v>
      </c>
      <c r="E2522" s="775"/>
      <c r="F2522" s="626"/>
      <c r="G2522" s="623"/>
      <c r="H2522" s="627"/>
      <c r="I2522" s="618"/>
      <c r="J2522" s="618"/>
      <c r="K2522" s="618"/>
      <c r="L2522" s="618"/>
      <c r="M2522" s="618"/>
      <c r="N2522" s="618"/>
      <c r="O2522" s="618"/>
      <c r="P2522" s="618"/>
      <c r="Q2522" s="662"/>
      <c r="R2522" s="618"/>
      <c r="S2522" s="621"/>
      <c r="T2522" s="618"/>
    </row>
    <row r="2523" spans="1:20">
      <c r="A2523" s="630">
        <v>4242630</v>
      </c>
      <c r="B2523" s="623"/>
      <c r="C2523" s="623"/>
      <c r="D2523" s="623" t="s">
        <v>756</v>
      </c>
      <c r="E2523" s="627" t="s">
        <v>3436</v>
      </c>
      <c r="F2523" s="631" t="s">
        <v>3437</v>
      </c>
      <c r="G2523" s="661">
        <v>424</v>
      </c>
      <c r="H2523" s="633">
        <v>2630</v>
      </c>
      <c r="I2523" s="618"/>
      <c r="J2523" s="619" t="s">
        <v>3436</v>
      </c>
      <c r="K2523" s="618"/>
      <c r="L2523" s="619">
        <v>108</v>
      </c>
      <c r="M2523" s="620">
        <v>103</v>
      </c>
      <c r="N2523" s="619"/>
      <c r="O2523" s="619">
        <v>18</v>
      </c>
      <c r="P2523" s="619" t="s">
        <v>760</v>
      </c>
      <c r="Q2523" s="662"/>
      <c r="R2523" s="618"/>
      <c r="S2523" s="621" t="s">
        <v>3435</v>
      </c>
      <c r="T2523" s="619" t="s">
        <v>3436</v>
      </c>
    </row>
    <row r="2524" spans="1:20">
      <c r="A2524" s="630">
        <v>4002630</v>
      </c>
      <c r="B2524" s="623"/>
      <c r="C2524" s="623"/>
      <c r="D2524" s="623" t="s">
        <v>775</v>
      </c>
      <c r="E2524" s="627" t="s">
        <v>1025</v>
      </c>
      <c r="F2524" s="631" t="s">
        <v>3438</v>
      </c>
      <c r="G2524" s="661">
        <v>400</v>
      </c>
      <c r="H2524" s="633">
        <v>2630</v>
      </c>
      <c r="I2524" s="618"/>
      <c r="J2524" s="619" t="s">
        <v>1025</v>
      </c>
      <c r="K2524" s="618"/>
      <c r="L2524" s="619">
        <v>108</v>
      </c>
      <c r="M2524" s="620">
        <v>103</v>
      </c>
      <c r="N2524" s="619"/>
      <c r="O2524" s="619">
        <v>18</v>
      </c>
      <c r="P2524" s="619" t="s">
        <v>760</v>
      </c>
      <c r="Q2524" s="662"/>
      <c r="R2524" s="618"/>
      <c r="S2524" s="621" t="s">
        <v>3435</v>
      </c>
      <c r="T2524" s="619" t="s">
        <v>1025</v>
      </c>
    </row>
    <row r="2525" spans="1:20">
      <c r="A2525" s="630">
        <v>5002630</v>
      </c>
      <c r="B2525" s="623"/>
      <c r="C2525" s="623"/>
      <c r="D2525" s="623" t="s">
        <v>799</v>
      </c>
      <c r="E2525" s="627" t="s">
        <v>252</v>
      </c>
      <c r="F2525" s="631" t="s">
        <v>3439</v>
      </c>
      <c r="G2525" s="661">
        <v>500</v>
      </c>
      <c r="H2525" s="633">
        <v>2630</v>
      </c>
      <c r="I2525" s="618"/>
      <c r="J2525" s="619" t="s">
        <v>252</v>
      </c>
      <c r="K2525" s="618"/>
      <c r="L2525" s="619">
        <v>119</v>
      </c>
      <c r="M2525" s="620">
        <v>110</v>
      </c>
      <c r="N2525" s="619"/>
      <c r="O2525" s="619">
        <v>18</v>
      </c>
      <c r="P2525" s="619" t="s">
        <v>760</v>
      </c>
      <c r="Q2525" s="662"/>
      <c r="R2525" s="618"/>
      <c r="S2525" s="621" t="s">
        <v>3435</v>
      </c>
      <c r="T2525" s="619" t="s">
        <v>252</v>
      </c>
    </row>
    <row r="2526" spans="1:20">
      <c r="A2526" s="630">
        <v>6002630</v>
      </c>
      <c r="B2526" s="623"/>
      <c r="C2526" s="623"/>
      <c r="D2526" s="623" t="s">
        <v>803</v>
      </c>
      <c r="E2526" s="627" t="s">
        <v>254</v>
      </c>
      <c r="F2526" s="631" t="s">
        <v>3440</v>
      </c>
      <c r="G2526" s="661">
        <v>600</v>
      </c>
      <c r="H2526" s="633">
        <v>2630</v>
      </c>
      <c r="I2526" s="618"/>
      <c r="J2526" s="619" t="s">
        <v>254</v>
      </c>
      <c r="K2526" s="618"/>
      <c r="L2526" s="619">
        <v>126</v>
      </c>
      <c r="M2526" s="620">
        <v>117</v>
      </c>
      <c r="N2526" s="619"/>
      <c r="O2526" s="619">
        <v>18</v>
      </c>
      <c r="P2526" s="619" t="s">
        <v>760</v>
      </c>
      <c r="Q2526" s="662"/>
      <c r="R2526" s="618"/>
      <c r="S2526" s="621" t="s">
        <v>3435</v>
      </c>
      <c r="T2526" s="619" t="s">
        <v>254</v>
      </c>
    </row>
    <row r="2527" spans="1:20">
      <c r="A2527" s="630">
        <v>7302630</v>
      </c>
      <c r="B2527" s="623"/>
      <c r="C2527" s="623"/>
      <c r="D2527" s="623" t="s">
        <v>848</v>
      </c>
      <c r="E2527" s="627" t="s">
        <v>3441</v>
      </c>
      <c r="F2527" s="631" t="s">
        <v>3442</v>
      </c>
      <c r="G2527" s="661">
        <v>730</v>
      </c>
      <c r="H2527" s="633">
        <v>2630</v>
      </c>
      <c r="I2527" s="618"/>
      <c r="J2527" s="619" t="s">
        <v>3441</v>
      </c>
      <c r="K2527" s="618"/>
      <c r="L2527" s="619">
        <v>131</v>
      </c>
      <c r="M2527" s="620">
        <v>122</v>
      </c>
      <c r="N2527" s="619"/>
      <c r="O2527" s="619">
        <v>18</v>
      </c>
      <c r="P2527" s="619" t="s">
        <v>760</v>
      </c>
      <c r="Q2527" s="662"/>
      <c r="R2527" s="618"/>
      <c r="S2527" s="621" t="s">
        <v>3435</v>
      </c>
      <c r="T2527" s="619" t="s">
        <v>3441</v>
      </c>
    </row>
    <row r="2528" spans="1:20">
      <c r="A2528" s="630">
        <v>7002630</v>
      </c>
      <c r="B2528" s="623"/>
      <c r="C2528" s="623"/>
      <c r="D2528" s="623" t="s">
        <v>851</v>
      </c>
      <c r="E2528" s="627" t="s">
        <v>1057</v>
      </c>
      <c r="F2528" s="631" t="s">
        <v>3443</v>
      </c>
      <c r="G2528" s="661">
        <v>700</v>
      </c>
      <c r="H2528" s="633">
        <v>2630</v>
      </c>
      <c r="I2528" s="618"/>
      <c r="J2528" s="619" t="s">
        <v>1057</v>
      </c>
      <c r="K2528" s="618"/>
      <c r="L2528" s="619">
        <v>132</v>
      </c>
      <c r="M2528" s="620">
        <v>123</v>
      </c>
      <c r="N2528" s="619"/>
      <c r="O2528" s="619">
        <v>18</v>
      </c>
      <c r="P2528" s="619" t="s">
        <v>760</v>
      </c>
      <c r="Q2528" s="662"/>
      <c r="R2528" s="618"/>
      <c r="S2528" s="621" t="s">
        <v>3435</v>
      </c>
      <c r="T2528" s="619" t="s">
        <v>1057</v>
      </c>
    </row>
    <row r="2529" spans="1:20">
      <c r="A2529" s="630">
        <v>8002630</v>
      </c>
      <c r="B2529" s="623"/>
      <c r="C2529" s="623"/>
      <c r="D2529" s="623" t="s">
        <v>854</v>
      </c>
      <c r="E2529" s="627" t="s">
        <v>3070</v>
      </c>
      <c r="F2529" s="631" t="s">
        <v>3444</v>
      </c>
      <c r="G2529" s="661">
        <v>800</v>
      </c>
      <c r="H2529" s="633">
        <v>2630</v>
      </c>
      <c r="I2529" s="618"/>
      <c r="J2529" s="619" t="s">
        <v>3070</v>
      </c>
      <c r="K2529" s="618"/>
      <c r="L2529" s="619">
        <v>139</v>
      </c>
      <c r="M2529" s="620">
        <v>129</v>
      </c>
      <c r="N2529" s="619"/>
      <c r="O2529" s="619">
        <v>18</v>
      </c>
      <c r="P2529" s="619" t="s">
        <v>760</v>
      </c>
      <c r="Q2529" s="662"/>
      <c r="R2529" s="618"/>
      <c r="S2529" s="621" t="s">
        <v>3435</v>
      </c>
      <c r="T2529" s="619" t="s">
        <v>3070</v>
      </c>
    </row>
    <row r="2530" spans="1:20">
      <c r="A2530" s="622"/>
      <c r="B2530" s="623"/>
      <c r="C2530" s="629">
        <v>78</v>
      </c>
      <c r="D2530" s="774" t="s">
        <v>3445</v>
      </c>
      <c r="E2530" s="775"/>
      <c r="F2530" s="626"/>
      <c r="G2530" s="623"/>
      <c r="H2530" s="627"/>
      <c r="I2530" s="618"/>
      <c r="J2530" s="618"/>
      <c r="K2530" s="618"/>
      <c r="L2530" s="618"/>
      <c r="M2530" s="618"/>
      <c r="N2530" s="618"/>
      <c r="O2530" s="618"/>
      <c r="P2530" s="618"/>
      <c r="Q2530" s="662"/>
      <c r="R2530" s="618"/>
      <c r="S2530" s="621"/>
      <c r="T2530" s="618"/>
    </row>
    <row r="2531" spans="1:20">
      <c r="A2531" s="630">
        <v>4302640</v>
      </c>
      <c r="B2531" s="623"/>
      <c r="C2531" s="623"/>
      <c r="D2531" s="623" t="s">
        <v>756</v>
      </c>
      <c r="E2531" s="627" t="s">
        <v>1021</v>
      </c>
      <c r="F2531" s="631" t="s">
        <v>3446</v>
      </c>
      <c r="G2531" s="661">
        <v>430</v>
      </c>
      <c r="H2531" s="633">
        <v>2640</v>
      </c>
      <c r="I2531" s="618"/>
      <c r="J2531" s="619" t="s">
        <v>1021</v>
      </c>
      <c r="K2531" s="618"/>
      <c r="L2531" s="619">
        <v>107</v>
      </c>
      <c r="M2531" s="620">
        <v>102</v>
      </c>
      <c r="N2531" s="619"/>
      <c r="O2531" s="619">
        <v>18</v>
      </c>
      <c r="P2531" s="619" t="s">
        <v>760</v>
      </c>
      <c r="Q2531" s="662" t="s">
        <v>3380</v>
      </c>
      <c r="R2531" s="618"/>
      <c r="S2531" s="621" t="s">
        <v>3435</v>
      </c>
      <c r="T2531" s="619" t="s">
        <v>1021</v>
      </c>
    </row>
    <row r="2532" spans="1:20">
      <c r="A2532" s="630">
        <v>4422640</v>
      </c>
      <c r="B2532" s="623"/>
      <c r="C2532" s="623"/>
      <c r="D2532" s="623" t="s">
        <v>775</v>
      </c>
      <c r="E2532" s="627" t="s">
        <v>1383</v>
      </c>
      <c r="F2532" s="631" t="s">
        <v>3447</v>
      </c>
      <c r="G2532" s="661">
        <v>442</v>
      </c>
      <c r="H2532" s="633">
        <v>2640</v>
      </c>
      <c r="I2532" s="618"/>
      <c r="J2532" s="619" t="s">
        <v>1383</v>
      </c>
      <c r="K2532" s="618"/>
      <c r="L2532" s="619">
        <v>106</v>
      </c>
      <c r="M2532" s="620">
        <v>101</v>
      </c>
      <c r="N2532" s="619"/>
      <c r="O2532" s="619">
        <v>18</v>
      </c>
      <c r="P2532" s="619" t="s">
        <v>760</v>
      </c>
      <c r="Q2532" s="662" t="s">
        <v>3380</v>
      </c>
      <c r="R2532" s="618"/>
      <c r="S2532" s="621" t="s">
        <v>3435</v>
      </c>
      <c r="T2532" s="619" t="s">
        <v>1383</v>
      </c>
    </row>
    <row r="2533" spans="1:20">
      <c r="A2533" s="630">
        <v>4002640</v>
      </c>
      <c r="B2533" s="623"/>
      <c r="C2533" s="623"/>
      <c r="D2533" s="623" t="s">
        <v>799</v>
      </c>
      <c r="E2533" s="627" t="s">
        <v>1025</v>
      </c>
      <c r="F2533" s="631" t="s">
        <v>3448</v>
      </c>
      <c r="G2533" s="661">
        <v>400</v>
      </c>
      <c r="H2533" s="633">
        <v>2640</v>
      </c>
      <c r="I2533" s="618"/>
      <c r="J2533" s="619" t="s">
        <v>1025</v>
      </c>
      <c r="K2533" s="618"/>
      <c r="L2533" s="619">
        <v>108</v>
      </c>
      <c r="M2533" s="620">
        <v>103</v>
      </c>
      <c r="N2533" s="619"/>
      <c r="O2533" s="619">
        <v>18</v>
      </c>
      <c r="P2533" s="619" t="s">
        <v>760</v>
      </c>
      <c r="Q2533" s="662" t="s">
        <v>3380</v>
      </c>
      <c r="R2533" s="618"/>
      <c r="S2533" s="621" t="s">
        <v>3435</v>
      </c>
      <c r="T2533" s="619" t="s">
        <v>1025</v>
      </c>
    </row>
    <row r="2534" spans="1:20">
      <c r="A2534" s="630">
        <v>5002640</v>
      </c>
      <c r="B2534" s="623"/>
      <c r="C2534" s="623"/>
      <c r="D2534" s="623" t="s">
        <v>803</v>
      </c>
      <c r="E2534" s="627" t="s">
        <v>252</v>
      </c>
      <c r="F2534" s="631" t="s">
        <v>3449</v>
      </c>
      <c r="G2534" s="661">
        <v>500</v>
      </c>
      <c r="H2534" s="633">
        <v>2640</v>
      </c>
      <c r="I2534" s="618"/>
      <c r="J2534" s="619" t="s">
        <v>252</v>
      </c>
      <c r="K2534" s="618"/>
      <c r="L2534" s="619">
        <v>119</v>
      </c>
      <c r="M2534" s="620">
        <v>110</v>
      </c>
      <c r="N2534" s="619"/>
      <c r="O2534" s="619">
        <v>18</v>
      </c>
      <c r="P2534" s="619" t="s">
        <v>760</v>
      </c>
      <c r="Q2534" s="662" t="s">
        <v>3380</v>
      </c>
      <c r="R2534" s="618"/>
      <c r="S2534" s="621" t="s">
        <v>3435</v>
      </c>
      <c r="T2534" s="619" t="s">
        <v>252</v>
      </c>
    </row>
    <row r="2535" spans="1:20">
      <c r="A2535" s="630">
        <v>6002640</v>
      </c>
      <c r="B2535" s="623"/>
      <c r="C2535" s="623"/>
      <c r="D2535" s="623" t="s">
        <v>848</v>
      </c>
      <c r="E2535" s="627" t="s">
        <v>254</v>
      </c>
      <c r="F2535" s="631" t="s">
        <v>3450</v>
      </c>
      <c r="G2535" s="661">
        <v>600</v>
      </c>
      <c r="H2535" s="633">
        <v>2640</v>
      </c>
      <c r="I2535" s="618"/>
      <c r="J2535" s="619" t="s">
        <v>254</v>
      </c>
      <c r="K2535" s="618"/>
      <c r="L2535" s="619">
        <v>126</v>
      </c>
      <c r="M2535" s="620">
        <v>117</v>
      </c>
      <c r="N2535" s="619"/>
      <c r="O2535" s="619">
        <v>18</v>
      </c>
      <c r="P2535" s="619" t="s">
        <v>760</v>
      </c>
      <c r="Q2535" s="662" t="s">
        <v>3380</v>
      </c>
      <c r="R2535" s="618"/>
      <c r="S2535" s="621" t="s">
        <v>3435</v>
      </c>
      <c r="T2535" s="619" t="s">
        <v>254</v>
      </c>
    </row>
    <row r="2536" spans="1:20">
      <c r="A2536" s="630">
        <v>7302640</v>
      </c>
      <c r="B2536" s="623"/>
      <c r="C2536" s="623"/>
      <c r="D2536" s="623" t="s">
        <v>851</v>
      </c>
      <c r="E2536" s="627" t="s">
        <v>3441</v>
      </c>
      <c r="F2536" s="631" t="s">
        <v>3451</v>
      </c>
      <c r="G2536" s="661">
        <v>730</v>
      </c>
      <c r="H2536" s="633">
        <v>2640</v>
      </c>
      <c r="I2536" s="618"/>
      <c r="J2536" s="619" t="s">
        <v>3441</v>
      </c>
      <c r="K2536" s="618"/>
      <c r="L2536" s="619">
        <v>131</v>
      </c>
      <c r="M2536" s="620">
        <v>122</v>
      </c>
      <c r="N2536" s="619"/>
      <c r="O2536" s="619">
        <v>18</v>
      </c>
      <c r="P2536" s="619" t="s">
        <v>760</v>
      </c>
      <c r="Q2536" s="662"/>
      <c r="R2536" s="618"/>
      <c r="S2536" s="621" t="s">
        <v>3435</v>
      </c>
      <c r="T2536" s="619" t="s">
        <v>3441</v>
      </c>
    </row>
    <row r="2537" spans="1:20">
      <c r="A2537" s="630">
        <v>7002640</v>
      </c>
      <c r="B2537" s="623"/>
      <c r="C2537" s="623"/>
      <c r="D2537" s="623" t="s">
        <v>854</v>
      </c>
      <c r="E2537" s="627" t="s">
        <v>1057</v>
      </c>
      <c r="F2537" s="631" t="s">
        <v>3452</v>
      </c>
      <c r="G2537" s="661">
        <v>700</v>
      </c>
      <c r="H2537" s="633">
        <v>2640</v>
      </c>
      <c r="I2537" s="618"/>
      <c r="J2537" s="619" t="s">
        <v>1057</v>
      </c>
      <c r="K2537" s="618"/>
      <c r="L2537" s="619">
        <v>132</v>
      </c>
      <c r="M2537" s="620">
        <v>123</v>
      </c>
      <c r="N2537" s="619"/>
      <c r="O2537" s="619">
        <v>18</v>
      </c>
      <c r="P2537" s="619" t="s">
        <v>760</v>
      </c>
      <c r="Q2537" s="662"/>
      <c r="R2537" s="618"/>
      <c r="S2537" s="621" t="s">
        <v>3435</v>
      </c>
      <c r="T2537" s="619" t="s">
        <v>1057</v>
      </c>
    </row>
    <row r="2538" spans="1:20">
      <c r="A2538" s="630">
        <v>8002640</v>
      </c>
      <c r="B2538" s="623"/>
      <c r="C2538" s="623"/>
      <c r="D2538" s="623" t="s">
        <v>857</v>
      </c>
      <c r="E2538" s="627" t="s">
        <v>3070</v>
      </c>
      <c r="F2538" s="631" t="s">
        <v>3453</v>
      </c>
      <c r="G2538" s="661">
        <v>800</v>
      </c>
      <c r="H2538" s="633">
        <v>2640</v>
      </c>
      <c r="I2538" s="618"/>
      <c r="J2538" s="619" t="s">
        <v>3070</v>
      </c>
      <c r="K2538" s="618"/>
      <c r="L2538" s="619">
        <v>139</v>
      </c>
      <c r="M2538" s="620">
        <v>129</v>
      </c>
      <c r="N2538" s="619"/>
      <c r="O2538" s="619">
        <v>18</v>
      </c>
      <c r="P2538" s="619" t="s">
        <v>760</v>
      </c>
      <c r="Q2538" s="662" t="s">
        <v>3380</v>
      </c>
      <c r="R2538" s="618"/>
      <c r="S2538" s="621" t="s">
        <v>3435</v>
      </c>
      <c r="T2538" s="619" t="s">
        <v>3070</v>
      </c>
    </row>
    <row r="2539" spans="1:20">
      <c r="A2539" s="622"/>
      <c r="B2539" s="623"/>
      <c r="C2539" s="629">
        <v>79</v>
      </c>
      <c r="D2539" s="784" t="s">
        <v>3454</v>
      </c>
      <c r="E2539" s="775"/>
      <c r="F2539" s="626"/>
      <c r="G2539" s="623"/>
      <c r="H2539" s="627"/>
      <c r="I2539" s="618"/>
      <c r="J2539" s="618"/>
      <c r="K2539" s="618"/>
      <c r="L2539" s="618"/>
      <c r="M2539" s="618"/>
      <c r="N2539" s="618"/>
      <c r="O2539" s="618"/>
      <c r="P2539" s="618"/>
      <c r="Q2539" s="662"/>
      <c r="R2539" s="618"/>
      <c r="S2539" s="621"/>
      <c r="T2539" s="618"/>
    </row>
    <row r="2540" spans="1:20">
      <c r="A2540" s="630">
        <v>4302650</v>
      </c>
      <c r="B2540" s="623"/>
      <c r="C2540" s="623"/>
      <c r="D2540" s="623" t="s">
        <v>756</v>
      </c>
      <c r="E2540" s="627" t="s">
        <v>1021</v>
      </c>
      <c r="F2540" s="631" t="s">
        <v>3455</v>
      </c>
      <c r="G2540" s="661">
        <v>430</v>
      </c>
      <c r="H2540" s="633">
        <v>2650</v>
      </c>
      <c r="I2540" s="618"/>
      <c r="J2540" s="619" t="s">
        <v>1021</v>
      </c>
      <c r="K2540" s="618"/>
      <c r="L2540" s="619">
        <v>107</v>
      </c>
      <c r="M2540" s="620">
        <v>102</v>
      </c>
      <c r="N2540" s="619"/>
      <c r="O2540" s="619">
        <v>18</v>
      </c>
      <c r="P2540" s="619" t="s">
        <v>760</v>
      </c>
      <c r="Q2540" s="662"/>
      <c r="R2540" s="618"/>
      <c r="S2540" s="621" t="s">
        <v>3456</v>
      </c>
      <c r="T2540" s="619" t="s">
        <v>1021</v>
      </c>
    </row>
    <row r="2541" spans="1:20">
      <c r="A2541" s="630">
        <v>4002650</v>
      </c>
      <c r="B2541" s="623"/>
      <c r="C2541" s="623"/>
      <c r="D2541" s="623" t="s">
        <v>775</v>
      </c>
      <c r="E2541" s="627" t="s">
        <v>1025</v>
      </c>
      <c r="F2541" s="631" t="s">
        <v>3457</v>
      </c>
      <c r="G2541" s="661">
        <v>400</v>
      </c>
      <c r="H2541" s="633">
        <v>2650</v>
      </c>
      <c r="I2541" s="618"/>
      <c r="J2541" s="619" t="s">
        <v>1025</v>
      </c>
      <c r="K2541" s="618"/>
      <c r="L2541" s="619">
        <v>108</v>
      </c>
      <c r="M2541" s="620">
        <v>103</v>
      </c>
      <c r="N2541" s="619"/>
      <c r="O2541" s="619">
        <v>18</v>
      </c>
      <c r="P2541" s="619" t="s">
        <v>760</v>
      </c>
      <c r="Q2541" s="662"/>
      <c r="R2541" s="618"/>
      <c r="S2541" s="621" t="s">
        <v>3456</v>
      </c>
      <c r="T2541" s="619" t="s">
        <v>1025</v>
      </c>
    </row>
    <row r="2542" spans="1:20">
      <c r="A2542" s="630">
        <v>5232650</v>
      </c>
      <c r="B2542" s="623"/>
      <c r="C2542" s="623"/>
      <c r="D2542" s="623" t="s">
        <v>799</v>
      </c>
      <c r="E2542" s="627" t="s">
        <v>1387</v>
      </c>
      <c r="F2542" s="631" t="s">
        <v>3458</v>
      </c>
      <c r="G2542" s="661">
        <v>523</v>
      </c>
      <c r="H2542" s="633">
        <v>2650</v>
      </c>
      <c r="I2542" s="618"/>
      <c r="J2542" s="619" t="s">
        <v>1387</v>
      </c>
      <c r="K2542" s="618"/>
      <c r="L2542" s="619">
        <v>114</v>
      </c>
      <c r="M2542" s="620">
        <v>107</v>
      </c>
      <c r="N2542" s="619"/>
      <c r="O2542" s="619">
        <v>18</v>
      </c>
      <c r="P2542" s="619" t="s">
        <v>760</v>
      </c>
      <c r="Q2542" s="662"/>
      <c r="R2542" s="618"/>
      <c r="S2542" s="621" t="s">
        <v>3456</v>
      </c>
      <c r="T2542" s="619" t="s">
        <v>1387</v>
      </c>
    </row>
    <row r="2543" spans="1:20">
      <c r="A2543" s="630">
        <v>5002650</v>
      </c>
      <c r="B2543" s="623"/>
      <c r="C2543" s="623"/>
      <c r="D2543" s="623" t="s">
        <v>803</v>
      </c>
      <c r="E2543" s="627" t="s">
        <v>252</v>
      </c>
      <c r="F2543" s="631" t="s">
        <v>3459</v>
      </c>
      <c r="G2543" s="661">
        <v>500</v>
      </c>
      <c r="H2543" s="633">
        <v>2650</v>
      </c>
      <c r="I2543" s="618"/>
      <c r="J2543" s="619" t="s">
        <v>252</v>
      </c>
      <c r="K2543" s="618"/>
      <c r="L2543" s="619">
        <v>119</v>
      </c>
      <c r="M2543" s="620">
        <v>110</v>
      </c>
      <c r="N2543" s="619"/>
      <c r="O2543" s="619">
        <v>18</v>
      </c>
      <c r="P2543" s="619" t="s">
        <v>760</v>
      </c>
      <c r="Q2543" s="662"/>
      <c r="R2543" s="618"/>
      <c r="S2543" s="621" t="s">
        <v>3456</v>
      </c>
      <c r="T2543" s="619" t="s">
        <v>252</v>
      </c>
    </row>
    <row r="2544" spans="1:20">
      <c r="A2544" s="630">
        <v>6262650</v>
      </c>
      <c r="B2544" s="623"/>
      <c r="C2544" s="623"/>
      <c r="D2544" s="623" t="s">
        <v>848</v>
      </c>
      <c r="E2544" s="627" t="s">
        <v>1400</v>
      </c>
      <c r="F2544" s="631" t="s">
        <v>3460</v>
      </c>
      <c r="G2544" s="661">
        <v>626</v>
      </c>
      <c r="H2544" s="633">
        <v>2650</v>
      </c>
      <c r="I2544" s="618"/>
      <c r="J2544" s="619" t="s">
        <v>1400</v>
      </c>
      <c r="K2544" s="618"/>
      <c r="L2544" s="619">
        <v>123</v>
      </c>
      <c r="M2544" s="620">
        <v>114</v>
      </c>
      <c r="N2544" s="619"/>
      <c r="O2544" s="619">
        <v>18</v>
      </c>
      <c r="P2544" s="619" t="s">
        <v>760</v>
      </c>
      <c r="Q2544" s="662" t="s">
        <v>1043</v>
      </c>
      <c r="R2544" s="618"/>
      <c r="S2544" s="621" t="s">
        <v>3456</v>
      </c>
      <c r="T2544" s="619" t="s">
        <v>1400</v>
      </c>
    </row>
    <row r="2545" spans="1:20">
      <c r="A2545" s="630">
        <v>6002650</v>
      </c>
      <c r="B2545" s="623"/>
      <c r="C2545" s="623"/>
      <c r="D2545" s="623" t="s">
        <v>851</v>
      </c>
      <c r="E2545" s="627" t="s">
        <v>254</v>
      </c>
      <c r="F2545" s="631" t="s">
        <v>3461</v>
      </c>
      <c r="G2545" s="661">
        <v>600</v>
      </c>
      <c r="H2545" s="633">
        <v>2650</v>
      </c>
      <c r="I2545" s="618"/>
      <c r="J2545" s="619" t="s">
        <v>254</v>
      </c>
      <c r="K2545" s="618"/>
      <c r="L2545" s="619">
        <v>126</v>
      </c>
      <c r="M2545" s="620">
        <v>117</v>
      </c>
      <c r="N2545" s="619"/>
      <c r="O2545" s="619">
        <v>18</v>
      </c>
      <c r="P2545" s="619" t="s">
        <v>760</v>
      </c>
      <c r="Q2545" s="662"/>
      <c r="R2545" s="618"/>
      <c r="S2545" s="621" t="s">
        <v>3456</v>
      </c>
      <c r="T2545" s="619" t="s">
        <v>254</v>
      </c>
    </row>
    <row r="2546" spans="1:20">
      <c r="A2546" s="630">
        <v>7302650</v>
      </c>
      <c r="B2546" s="623"/>
      <c r="C2546" s="623"/>
      <c r="D2546" s="623" t="s">
        <v>854</v>
      </c>
      <c r="E2546" s="627" t="s">
        <v>3462</v>
      </c>
      <c r="F2546" s="631" t="s">
        <v>3463</v>
      </c>
      <c r="G2546" s="661">
        <v>730</v>
      </c>
      <c r="H2546" s="633">
        <v>2650</v>
      </c>
      <c r="I2546" s="618"/>
      <c r="J2546" s="619" t="s">
        <v>3462</v>
      </c>
      <c r="K2546" s="618"/>
      <c r="L2546" s="619">
        <v>131</v>
      </c>
      <c r="M2546" s="620">
        <v>122</v>
      </c>
      <c r="N2546" s="619"/>
      <c r="O2546" s="619">
        <v>18</v>
      </c>
      <c r="P2546" s="619" t="s">
        <v>760</v>
      </c>
      <c r="Q2546" s="662"/>
      <c r="R2546" s="618"/>
      <c r="S2546" s="621" t="s">
        <v>3456</v>
      </c>
      <c r="T2546" s="619" t="s">
        <v>3441</v>
      </c>
    </row>
    <row r="2547" spans="1:20">
      <c r="A2547" s="630">
        <v>7002650</v>
      </c>
      <c r="B2547" s="623"/>
      <c r="C2547" s="623"/>
      <c r="D2547" s="623" t="s">
        <v>857</v>
      </c>
      <c r="E2547" s="627" t="s">
        <v>1057</v>
      </c>
      <c r="F2547" s="631" t="s">
        <v>3464</v>
      </c>
      <c r="G2547" s="661">
        <v>700</v>
      </c>
      <c r="H2547" s="633">
        <v>2650</v>
      </c>
      <c r="I2547" s="618"/>
      <c r="J2547" s="619" t="s">
        <v>1057</v>
      </c>
      <c r="K2547" s="618"/>
      <c r="L2547" s="619">
        <v>132</v>
      </c>
      <c r="M2547" s="620">
        <v>123</v>
      </c>
      <c r="N2547" s="619"/>
      <c r="O2547" s="619">
        <v>18</v>
      </c>
      <c r="P2547" s="619" t="s">
        <v>760</v>
      </c>
      <c r="Q2547" s="662"/>
      <c r="R2547" s="618"/>
      <c r="S2547" s="621" t="s">
        <v>3456</v>
      </c>
      <c r="T2547" s="619" t="s">
        <v>1057</v>
      </c>
    </row>
    <row r="2548" spans="1:20">
      <c r="A2548" s="630">
        <v>8002650</v>
      </c>
      <c r="B2548" s="623"/>
      <c r="C2548" s="623"/>
      <c r="D2548" s="623" t="s">
        <v>860</v>
      </c>
      <c r="E2548" s="627" t="s">
        <v>3070</v>
      </c>
      <c r="F2548" s="631" t="s">
        <v>3465</v>
      </c>
      <c r="G2548" s="661">
        <v>800</v>
      </c>
      <c r="H2548" s="633">
        <v>2650</v>
      </c>
      <c r="I2548" s="618"/>
      <c r="J2548" s="619" t="s">
        <v>3070</v>
      </c>
      <c r="K2548" s="618"/>
      <c r="L2548" s="619">
        <v>139</v>
      </c>
      <c r="M2548" s="620">
        <v>129</v>
      </c>
      <c r="N2548" s="619"/>
      <c r="O2548" s="619">
        <v>18</v>
      </c>
      <c r="P2548" s="619" t="s">
        <v>760</v>
      </c>
      <c r="Q2548" s="662"/>
      <c r="R2548" s="618"/>
      <c r="S2548" s="621" t="s">
        <v>3456</v>
      </c>
      <c r="T2548" s="619" t="s">
        <v>3070</v>
      </c>
    </row>
    <row r="2549" spans="1:20">
      <c r="A2549" s="622"/>
      <c r="B2549" s="623"/>
      <c r="C2549" s="629">
        <v>80</v>
      </c>
      <c r="D2549" s="784" t="s">
        <v>3466</v>
      </c>
      <c r="E2549" s="775"/>
      <c r="F2549" s="626"/>
      <c r="G2549" s="623"/>
      <c r="H2549" s="627"/>
      <c r="I2549" s="618"/>
      <c r="J2549" s="618"/>
      <c r="K2549" s="618"/>
      <c r="L2549" s="618"/>
      <c r="M2549" s="618"/>
      <c r="N2549" s="618"/>
      <c r="O2549" s="618"/>
      <c r="P2549" s="618"/>
      <c r="Q2549" s="662"/>
      <c r="R2549" s="618"/>
      <c r="S2549" s="621"/>
      <c r="T2549" s="618"/>
    </row>
    <row r="2550" spans="1:20">
      <c r="A2550" s="630">
        <v>3002660</v>
      </c>
      <c r="B2550" s="623"/>
      <c r="C2550" s="623"/>
      <c r="D2550" s="623" t="s">
        <v>756</v>
      </c>
      <c r="E2550" s="627" t="s">
        <v>1112</v>
      </c>
      <c r="F2550" s="631" t="s">
        <v>3467</v>
      </c>
      <c r="G2550" s="661">
        <v>300</v>
      </c>
      <c r="H2550" s="633">
        <v>2660</v>
      </c>
      <c r="I2550" s="618"/>
      <c r="J2550" s="619" t="s">
        <v>1112</v>
      </c>
      <c r="K2550" s="618"/>
      <c r="L2550" s="619">
        <v>101</v>
      </c>
      <c r="M2550" s="620">
        <v>96</v>
      </c>
      <c r="N2550" s="619"/>
      <c r="O2550" s="619">
        <v>18</v>
      </c>
      <c r="P2550" s="619" t="s">
        <v>760</v>
      </c>
      <c r="Q2550" s="662"/>
      <c r="R2550" s="618"/>
      <c r="S2550" s="621" t="s">
        <v>3466</v>
      </c>
      <c r="T2550" s="619" t="s">
        <v>1112</v>
      </c>
    </row>
    <row r="2551" spans="1:20">
      <c r="A2551" s="630">
        <v>4002660</v>
      </c>
      <c r="B2551" s="623"/>
      <c r="C2551" s="623"/>
      <c r="D2551" s="623" t="s">
        <v>775</v>
      </c>
      <c r="E2551" s="627" t="s">
        <v>1025</v>
      </c>
      <c r="F2551" s="631" t="s">
        <v>3468</v>
      </c>
      <c r="G2551" s="661">
        <v>400</v>
      </c>
      <c r="H2551" s="633">
        <v>2660</v>
      </c>
      <c r="I2551" s="618"/>
      <c r="J2551" s="619" t="s">
        <v>1025</v>
      </c>
      <c r="K2551" s="618"/>
      <c r="L2551" s="619">
        <v>108</v>
      </c>
      <c r="M2551" s="620">
        <v>103</v>
      </c>
      <c r="N2551" s="619"/>
      <c r="O2551" s="619">
        <v>18</v>
      </c>
      <c r="P2551" s="619" t="s">
        <v>760</v>
      </c>
      <c r="Q2551" s="662"/>
      <c r="R2551" s="618"/>
      <c r="S2551" s="621" t="s">
        <v>3466</v>
      </c>
      <c r="T2551" s="619" t="s">
        <v>1025</v>
      </c>
    </row>
    <row r="2552" spans="1:20">
      <c r="A2552" s="630">
        <v>5002660</v>
      </c>
      <c r="B2552" s="623"/>
      <c r="C2552" s="623"/>
      <c r="D2552" s="623" t="s">
        <v>799</v>
      </c>
      <c r="E2552" s="627" t="s">
        <v>252</v>
      </c>
      <c r="F2552" s="631" t="s">
        <v>3469</v>
      </c>
      <c r="G2552" s="661">
        <v>500</v>
      </c>
      <c r="H2552" s="633">
        <v>2660</v>
      </c>
      <c r="I2552" s="618"/>
      <c r="J2552" s="619" t="s">
        <v>252</v>
      </c>
      <c r="K2552" s="618"/>
      <c r="L2552" s="619">
        <v>119</v>
      </c>
      <c r="M2552" s="620">
        <v>110</v>
      </c>
      <c r="N2552" s="619"/>
      <c r="O2552" s="619">
        <v>18</v>
      </c>
      <c r="P2552" s="619" t="s">
        <v>760</v>
      </c>
      <c r="Q2552" s="662"/>
      <c r="R2552" s="618"/>
      <c r="S2552" s="621" t="s">
        <v>3466</v>
      </c>
      <c r="T2552" s="619" t="s">
        <v>252</v>
      </c>
    </row>
    <row r="2553" spans="1:20">
      <c r="A2553" s="622"/>
      <c r="B2553" s="623"/>
      <c r="C2553" s="623"/>
      <c r="D2553" s="623" t="s">
        <v>803</v>
      </c>
      <c r="E2553" s="627" t="s">
        <v>254</v>
      </c>
      <c r="F2553" s="626"/>
      <c r="G2553" s="623"/>
      <c r="H2553" s="627"/>
      <c r="I2553" s="618"/>
      <c r="J2553" s="618"/>
      <c r="K2553" s="618"/>
      <c r="L2553" s="618"/>
      <c r="M2553" s="618"/>
      <c r="N2553" s="618"/>
      <c r="O2553" s="618"/>
      <c r="P2553" s="618"/>
      <c r="Q2553" s="662"/>
      <c r="R2553" s="618"/>
      <c r="S2553" s="621"/>
      <c r="T2553" s="618"/>
    </row>
    <row r="2554" spans="1:20">
      <c r="A2554" s="630">
        <v>6152660</v>
      </c>
      <c r="B2554" s="623"/>
      <c r="C2554" s="623"/>
      <c r="D2554" s="623"/>
      <c r="E2554" s="627" t="s">
        <v>1138</v>
      </c>
      <c r="F2554" s="631" t="s">
        <v>3470</v>
      </c>
      <c r="G2554" s="661">
        <v>615</v>
      </c>
      <c r="H2554" s="633">
        <v>2660</v>
      </c>
      <c r="I2554" s="618"/>
      <c r="J2554" s="619" t="s">
        <v>1138</v>
      </c>
      <c r="K2554" s="618"/>
      <c r="L2554" s="619">
        <v>126</v>
      </c>
      <c r="M2554" s="620">
        <v>117</v>
      </c>
      <c r="N2554" s="619"/>
      <c r="O2554" s="619">
        <v>18</v>
      </c>
      <c r="P2554" s="619" t="s">
        <v>760</v>
      </c>
      <c r="Q2554" s="662" t="s">
        <v>1043</v>
      </c>
      <c r="R2554" s="618"/>
      <c r="S2554" s="621" t="s">
        <v>3466</v>
      </c>
      <c r="T2554" s="619" t="s">
        <v>1041</v>
      </c>
    </row>
    <row r="2555" spans="1:20">
      <c r="A2555" s="630">
        <v>6002660</v>
      </c>
      <c r="B2555" s="623"/>
      <c r="C2555" s="623"/>
      <c r="D2555" s="623"/>
      <c r="E2555" s="627" t="s">
        <v>3471</v>
      </c>
      <c r="F2555" s="631" t="s">
        <v>3472</v>
      </c>
      <c r="G2555" s="661">
        <v>600</v>
      </c>
      <c r="H2555" s="633">
        <v>2660</v>
      </c>
      <c r="I2555" s="618"/>
      <c r="J2555" s="619" t="s">
        <v>3471</v>
      </c>
      <c r="K2555" s="618"/>
      <c r="L2555" s="619">
        <v>126</v>
      </c>
      <c r="M2555" s="620">
        <v>117</v>
      </c>
      <c r="N2555" s="619"/>
      <c r="O2555" s="619">
        <v>18</v>
      </c>
      <c r="P2555" s="619" t="s">
        <v>760</v>
      </c>
      <c r="Q2555" s="662"/>
      <c r="R2555" s="618"/>
      <c r="S2555" s="621" t="s">
        <v>3466</v>
      </c>
      <c r="T2555" s="619" t="s">
        <v>1048</v>
      </c>
    </row>
    <row r="2556" spans="1:20">
      <c r="A2556" s="622"/>
      <c r="B2556" s="623"/>
      <c r="C2556" s="623"/>
      <c r="D2556" s="623" t="s">
        <v>848</v>
      </c>
      <c r="E2556" s="627" t="s">
        <v>1050</v>
      </c>
      <c r="F2556" s="626"/>
      <c r="G2556" s="623"/>
      <c r="H2556" s="627"/>
      <c r="I2556" s="618"/>
      <c r="J2556" s="618"/>
      <c r="K2556" s="618"/>
      <c r="L2556" s="618"/>
      <c r="M2556" s="618"/>
      <c r="N2556" s="618"/>
      <c r="O2556" s="618"/>
      <c r="P2556" s="618"/>
      <c r="Q2556" s="662"/>
      <c r="R2556" s="618"/>
      <c r="S2556" s="621"/>
      <c r="T2556" s="618"/>
    </row>
    <row r="2557" spans="1:20">
      <c r="A2557" s="630">
        <v>7342660</v>
      </c>
      <c r="B2557" s="623"/>
      <c r="C2557" s="623"/>
      <c r="D2557" s="623"/>
      <c r="E2557" s="627" t="s">
        <v>1146</v>
      </c>
      <c r="F2557" s="631" t="s">
        <v>3473</v>
      </c>
      <c r="G2557" s="661">
        <v>734</v>
      </c>
      <c r="H2557" s="633">
        <v>2660</v>
      </c>
      <c r="I2557" s="618"/>
      <c r="J2557" s="619" t="s">
        <v>1146</v>
      </c>
      <c r="K2557" s="618"/>
      <c r="L2557" s="619">
        <v>131</v>
      </c>
      <c r="M2557" s="620">
        <v>122</v>
      </c>
      <c r="N2557" s="619"/>
      <c r="O2557" s="619">
        <v>18</v>
      </c>
      <c r="P2557" s="619" t="s">
        <v>760</v>
      </c>
      <c r="Q2557" s="662"/>
      <c r="R2557" s="618"/>
      <c r="S2557" s="621" t="s">
        <v>3466</v>
      </c>
      <c r="T2557" s="619" t="s">
        <v>1051</v>
      </c>
    </row>
    <row r="2558" spans="1:20">
      <c r="A2558" s="630">
        <v>7352660</v>
      </c>
      <c r="B2558" s="623"/>
      <c r="C2558" s="623"/>
      <c r="D2558" s="623"/>
      <c r="E2558" s="627" t="s">
        <v>1148</v>
      </c>
      <c r="F2558" s="631" t="s">
        <v>3474</v>
      </c>
      <c r="G2558" s="661">
        <v>735</v>
      </c>
      <c r="H2558" s="633">
        <v>2660</v>
      </c>
      <c r="I2558" s="618"/>
      <c r="J2558" s="619" t="s">
        <v>1148</v>
      </c>
      <c r="K2558" s="618"/>
      <c r="L2558" s="619">
        <v>131</v>
      </c>
      <c r="M2558" s="620">
        <v>122</v>
      </c>
      <c r="N2558" s="619"/>
      <c r="O2558" s="619">
        <v>18</v>
      </c>
      <c r="P2558" s="619" t="s">
        <v>760</v>
      </c>
      <c r="Q2558" s="662"/>
      <c r="R2558" s="618"/>
      <c r="S2558" s="621" t="s">
        <v>3466</v>
      </c>
      <c r="T2558" s="619" t="s">
        <v>1053</v>
      </c>
    </row>
    <row r="2559" spans="1:20">
      <c r="A2559" s="630">
        <v>7302660</v>
      </c>
      <c r="B2559" s="623"/>
      <c r="C2559" s="623"/>
      <c r="D2559" s="623"/>
      <c r="E2559" s="627" t="s">
        <v>1150</v>
      </c>
      <c r="F2559" s="631" t="s">
        <v>3475</v>
      </c>
      <c r="G2559" s="661">
        <v>730</v>
      </c>
      <c r="H2559" s="633">
        <v>2660</v>
      </c>
      <c r="I2559" s="618"/>
      <c r="J2559" s="619" t="s">
        <v>1150</v>
      </c>
      <c r="K2559" s="618"/>
      <c r="L2559" s="619">
        <v>131</v>
      </c>
      <c r="M2559" s="620">
        <v>122</v>
      </c>
      <c r="N2559" s="619"/>
      <c r="O2559" s="619">
        <v>18</v>
      </c>
      <c r="P2559" s="619" t="s">
        <v>760</v>
      </c>
      <c r="Q2559" s="662"/>
      <c r="R2559" s="618"/>
      <c r="S2559" s="621" t="s">
        <v>3466</v>
      </c>
      <c r="T2559" s="619" t="s">
        <v>1055</v>
      </c>
    </row>
    <row r="2560" spans="1:20">
      <c r="A2560" s="630">
        <v>7002660</v>
      </c>
      <c r="B2560" s="623"/>
      <c r="C2560" s="623"/>
      <c r="D2560" s="623"/>
      <c r="E2560" s="627" t="s">
        <v>1152</v>
      </c>
      <c r="F2560" s="631" t="s">
        <v>3476</v>
      </c>
      <c r="G2560" s="661">
        <v>700</v>
      </c>
      <c r="H2560" s="633">
        <v>2660</v>
      </c>
      <c r="I2560" s="618"/>
      <c r="J2560" s="619" t="s">
        <v>1152</v>
      </c>
      <c r="K2560" s="618"/>
      <c r="L2560" s="619">
        <v>132</v>
      </c>
      <c r="M2560" s="620">
        <v>123</v>
      </c>
      <c r="N2560" s="619"/>
      <c r="O2560" s="619">
        <v>18</v>
      </c>
      <c r="P2560" s="619" t="s">
        <v>760</v>
      </c>
      <c r="Q2560" s="662"/>
      <c r="R2560" s="618"/>
      <c r="S2560" s="621" t="s">
        <v>3466</v>
      </c>
      <c r="T2560" s="619" t="s">
        <v>1057</v>
      </c>
    </row>
    <row r="2561" spans="1:20">
      <c r="A2561" s="622"/>
      <c r="B2561" s="623"/>
      <c r="C2561" s="623"/>
      <c r="D2561" s="623" t="s">
        <v>851</v>
      </c>
      <c r="E2561" s="627" t="s">
        <v>256</v>
      </c>
      <c r="F2561" s="626"/>
      <c r="G2561" s="623"/>
      <c r="H2561" s="627"/>
      <c r="I2561" s="618"/>
      <c r="J2561" s="618"/>
      <c r="K2561" s="618"/>
      <c r="L2561" s="618"/>
      <c r="M2561" s="618"/>
      <c r="N2561" s="618"/>
      <c r="O2561" s="618"/>
      <c r="P2561" s="618"/>
      <c r="Q2561" s="662"/>
      <c r="R2561" s="618"/>
      <c r="S2561" s="621"/>
      <c r="T2561" s="618"/>
    </row>
    <row r="2562" spans="1:20">
      <c r="A2562" s="630">
        <v>8952660</v>
      </c>
      <c r="B2562" s="623"/>
      <c r="C2562" s="623"/>
      <c r="D2562" s="623"/>
      <c r="E2562" s="627" t="s">
        <v>1154</v>
      </c>
      <c r="F2562" s="631" t="s">
        <v>3477</v>
      </c>
      <c r="G2562" s="661">
        <v>895</v>
      </c>
      <c r="H2562" s="633">
        <v>2660</v>
      </c>
      <c r="I2562" s="618"/>
      <c r="J2562" s="619" t="s">
        <v>1154</v>
      </c>
      <c r="K2562" s="618"/>
      <c r="L2562" s="619">
        <v>139</v>
      </c>
      <c r="M2562" s="620">
        <v>129</v>
      </c>
      <c r="N2562" s="619"/>
      <c r="O2562" s="619">
        <v>18</v>
      </c>
      <c r="P2562" s="619" t="s">
        <v>760</v>
      </c>
      <c r="Q2562" s="662"/>
      <c r="R2562" s="618"/>
      <c r="S2562" s="621" t="s">
        <v>3466</v>
      </c>
      <c r="T2562" s="619" t="s">
        <v>1059</v>
      </c>
    </row>
    <row r="2563" spans="1:20">
      <c r="A2563" s="630">
        <v>8002660</v>
      </c>
      <c r="B2563" s="623"/>
      <c r="C2563" s="623"/>
      <c r="D2563" s="623"/>
      <c r="E2563" s="627" t="s">
        <v>1156</v>
      </c>
      <c r="F2563" s="631" t="s">
        <v>3478</v>
      </c>
      <c r="G2563" s="661">
        <v>800</v>
      </c>
      <c r="H2563" s="633">
        <v>2660</v>
      </c>
      <c r="I2563" s="618"/>
      <c r="J2563" s="619" t="s">
        <v>1156</v>
      </c>
      <c r="K2563" s="618"/>
      <c r="L2563" s="619">
        <v>139</v>
      </c>
      <c r="M2563" s="620">
        <v>129</v>
      </c>
      <c r="N2563" s="619"/>
      <c r="O2563" s="619">
        <v>18</v>
      </c>
      <c r="P2563" s="619" t="s">
        <v>760</v>
      </c>
      <c r="Q2563" s="662"/>
      <c r="R2563" s="618"/>
      <c r="S2563" s="621" t="s">
        <v>3466</v>
      </c>
      <c r="T2563" s="619" t="s">
        <v>1061</v>
      </c>
    </row>
    <row r="2564" spans="1:20">
      <c r="A2564" s="622"/>
      <c r="B2564" s="623"/>
      <c r="C2564" s="629">
        <v>81</v>
      </c>
      <c r="D2564" s="784" t="s">
        <v>3479</v>
      </c>
      <c r="E2564" s="775"/>
      <c r="F2564" s="626"/>
      <c r="G2564" s="623"/>
      <c r="H2564" s="627"/>
      <c r="I2564" s="618"/>
      <c r="J2564" s="618"/>
      <c r="K2564" s="618"/>
      <c r="L2564" s="618"/>
      <c r="M2564" s="618"/>
      <c r="N2564" s="618"/>
      <c r="O2564" s="618"/>
      <c r="P2564" s="618"/>
      <c r="Q2564" s="662"/>
      <c r="R2564" s="618"/>
      <c r="S2564" s="621"/>
      <c r="T2564" s="618"/>
    </row>
    <row r="2565" spans="1:20">
      <c r="A2565" s="630">
        <v>2102690</v>
      </c>
      <c r="B2565" s="623"/>
      <c r="C2565" s="623"/>
      <c r="D2565" s="623" t="s">
        <v>756</v>
      </c>
      <c r="E2565" s="627" t="s">
        <v>1064</v>
      </c>
      <c r="F2565" s="631" t="s">
        <v>3480</v>
      </c>
      <c r="G2565" s="661">
        <v>210</v>
      </c>
      <c r="H2565" s="633">
        <v>2690</v>
      </c>
      <c r="I2565" s="618"/>
      <c r="J2565" s="619" t="s">
        <v>1064</v>
      </c>
      <c r="K2565" s="618"/>
      <c r="L2565" s="619">
        <v>89</v>
      </c>
      <c r="M2565" s="620">
        <v>84</v>
      </c>
      <c r="N2565" s="619"/>
      <c r="O2565" s="619">
        <v>18</v>
      </c>
      <c r="P2565" s="619" t="s">
        <v>760</v>
      </c>
      <c r="Q2565" s="662" t="s">
        <v>3380</v>
      </c>
      <c r="R2565" s="618"/>
      <c r="S2565" s="621" t="s">
        <v>3381</v>
      </c>
      <c r="T2565" s="619" t="s">
        <v>1064</v>
      </c>
    </row>
    <row r="2566" spans="1:20">
      <c r="A2566" s="630">
        <v>2202690</v>
      </c>
      <c r="B2566" s="623"/>
      <c r="C2566" s="623"/>
      <c r="D2566" s="623" t="s">
        <v>775</v>
      </c>
      <c r="E2566" s="627" t="s">
        <v>1066</v>
      </c>
      <c r="F2566" s="631" t="s">
        <v>3481</v>
      </c>
      <c r="G2566" s="661">
        <v>220</v>
      </c>
      <c r="H2566" s="633">
        <v>2690</v>
      </c>
      <c r="I2566" s="618"/>
      <c r="J2566" s="619" t="s">
        <v>1066</v>
      </c>
      <c r="K2566" s="618"/>
      <c r="L2566" s="619">
        <v>90</v>
      </c>
      <c r="M2566" s="620">
        <v>85</v>
      </c>
      <c r="N2566" s="619"/>
      <c r="O2566" s="619">
        <v>18</v>
      </c>
      <c r="P2566" s="619" t="s">
        <v>760</v>
      </c>
      <c r="Q2566" s="662" t="s">
        <v>3380</v>
      </c>
      <c r="R2566" s="618"/>
      <c r="S2566" s="621" t="s">
        <v>3381</v>
      </c>
      <c r="T2566" s="619" t="s">
        <v>1066</v>
      </c>
    </row>
    <row r="2567" spans="1:20">
      <c r="A2567" s="630">
        <v>2252690</v>
      </c>
      <c r="B2567" s="623"/>
      <c r="C2567" s="623"/>
      <c r="D2567" s="623" t="s">
        <v>799</v>
      </c>
      <c r="E2567" s="627" t="s">
        <v>23</v>
      </c>
      <c r="F2567" s="631" t="s">
        <v>3482</v>
      </c>
      <c r="G2567" s="661">
        <v>225</v>
      </c>
      <c r="H2567" s="633">
        <v>2690</v>
      </c>
      <c r="I2567" s="618"/>
      <c r="J2567" s="619" t="s">
        <v>23</v>
      </c>
      <c r="K2567" s="618"/>
      <c r="L2567" s="619">
        <v>91</v>
      </c>
      <c r="M2567" s="620">
        <v>86</v>
      </c>
      <c r="N2567" s="619"/>
      <c r="O2567" s="619">
        <v>18</v>
      </c>
      <c r="P2567" s="619" t="s">
        <v>760</v>
      </c>
      <c r="Q2567" s="662" t="s">
        <v>3380</v>
      </c>
      <c r="R2567" s="618"/>
      <c r="S2567" s="621" t="s">
        <v>3381</v>
      </c>
      <c r="T2567" s="619" t="s">
        <v>23</v>
      </c>
    </row>
    <row r="2568" spans="1:20">
      <c r="A2568" s="622"/>
      <c r="B2568" s="623"/>
      <c r="C2568" s="623"/>
      <c r="D2568" s="623" t="s">
        <v>803</v>
      </c>
      <c r="E2568" s="627" t="s">
        <v>1069</v>
      </c>
      <c r="F2568" s="626"/>
      <c r="G2568" s="623"/>
      <c r="H2568" s="627"/>
      <c r="I2568" s="618"/>
      <c r="J2568" s="618"/>
      <c r="K2568" s="618"/>
      <c r="L2568" s="618"/>
      <c r="M2568" s="618"/>
      <c r="N2568" s="618"/>
      <c r="O2568" s="618"/>
      <c r="P2568" s="618"/>
      <c r="Q2568" s="662"/>
      <c r="R2568" s="618"/>
      <c r="S2568" s="621"/>
      <c r="T2568" s="618"/>
    </row>
    <row r="2569" spans="1:20">
      <c r="A2569" s="630">
        <v>2312690</v>
      </c>
      <c r="B2569" s="623"/>
      <c r="C2569" s="623"/>
      <c r="D2569" s="623"/>
      <c r="E2569" s="627" t="s">
        <v>1070</v>
      </c>
      <c r="F2569" s="631" t="s">
        <v>3483</v>
      </c>
      <c r="G2569" s="661">
        <v>231</v>
      </c>
      <c r="H2569" s="633">
        <v>2690</v>
      </c>
      <c r="I2569" s="618"/>
      <c r="J2569" s="619" t="s">
        <v>1070</v>
      </c>
      <c r="K2569" s="618"/>
      <c r="L2569" s="619">
        <v>92</v>
      </c>
      <c r="M2569" s="620">
        <v>87</v>
      </c>
      <c r="N2569" s="619"/>
      <c r="O2569" s="619">
        <v>18</v>
      </c>
      <c r="P2569" s="619" t="s">
        <v>760</v>
      </c>
      <c r="Q2569" s="662" t="s">
        <v>3380</v>
      </c>
      <c r="R2569" s="618"/>
      <c r="S2569" s="621" t="s">
        <v>3381</v>
      </c>
      <c r="T2569" s="619" t="s">
        <v>1072</v>
      </c>
    </row>
    <row r="2570" spans="1:20">
      <c r="A2570" s="630">
        <v>2332690</v>
      </c>
      <c r="B2570" s="623"/>
      <c r="C2570" s="623"/>
      <c r="D2570" s="623"/>
      <c r="E2570" s="627" t="s">
        <v>1073</v>
      </c>
      <c r="F2570" s="631" t="s">
        <v>3484</v>
      </c>
      <c r="G2570" s="661">
        <v>233</v>
      </c>
      <c r="H2570" s="633">
        <v>2690</v>
      </c>
      <c r="I2570" s="618"/>
      <c r="J2570" s="619" t="s">
        <v>1073</v>
      </c>
      <c r="K2570" s="618"/>
      <c r="L2570" s="619">
        <v>92</v>
      </c>
      <c r="M2570" s="620">
        <v>87</v>
      </c>
      <c r="N2570" s="619"/>
      <c r="O2570" s="619">
        <v>18</v>
      </c>
      <c r="P2570" s="619" t="s">
        <v>760</v>
      </c>
      <c r="Q2570" s="662" t="s">
        <v>3380</v>
      </c>
      <c r="R2570" s="618"/>
      <c r="S2570" s="621" t="s">
        <v>3381</v>
      </c>
      <c r="T2570" s="619" t="s">
        <v>1075</v>
      </c>
    </row>
    <row r="2571" spans="1:20">
      <c r="A2571" s="630">
        <v>2392690</v>
      </c>
      <c r="B2571" s="623"/>
      <c r="C2571" s="623"/>
      <c r="D2571" s="623"/>
      <c r="E2571" s="627" t="s">
        <v>1076</v>
      </c>
      <c r="F2571" s="631" t="s">
        <v>3485</v>
      </c>
      <c r="G2571" s="661">
        <v>239</v>
      </c>
      <c r="H2571" s="633">
        <v>2690</v>
      </c>
      <c r="I2571" s="618"/>
      <c r="J2571" s="619" t="s">
        <v>1076</v>
      </c>
      <c r="K2571" s="618"/>
      <c r="L2571" s="619">
        <v>92</v>
      </c>
      <c r="M2571" s="620">
        <v>87</v>
      </c>
      <c r="N2571" s="619"/>
      <c r="O2571" s="619">
        <v>18</v>
      </c>
      <c r="P2571" s="619" t="s">
        <v>760</v>
      </c>
      <c r="Q2571" s="662" t="s">
        <v>3380</v>
      </c>
      <c r="R2571" s="618"/>
      <c r="S2571" s="621" t="s">
        <v>3381</v>
      </c>
      <c r="T2571" s="619" t="s">
        <v>1078</v>
      </c>
    </row>
    <row r="2572" spans="1:20">
      <c r="A2572" s="630">
        <v>2502690</v>
      </c>
      <c r="B2572" s="623"/>
      <c r="C2572" s="623"/>
      <c r="D2572" s="623" t="s">
        <v>848</v>
      </c>
      <c r="E2572" s="627" t="s">
        <v>1079</v>
      </c>
      <c r="F2572" s="631" t="s">
        <v>3486</v>
      </c>
      <c r="G2572" s="661">
        <v>250</v>
      </c>
      <c r="H2572" s="633">
        <v>2690</v>
      </c>
      <c r="I2572" s="618"/>
      <c r="J2572" s="619" t="s">
        <v>1079</v>
      </c>
      <c r="K2572" s="618"/>
      <c r="L2572" s="619">
        <v>93</v>
      </c>
      <c r="M2572" s="620">
        <v>88</v>
      </c>
      <c r="N2572" s="619"/>
      <c r="O2572" s="619">
        <v>18</v>
      </c>
      <c r="P2572" s="619" t="s">
        <v>760</v>
      </c>
      <c r="Q2572" s="662" t="s">
        <v>3380</v>
      </c>
      <c r="R2572" s="618"/>
      <c r="S2572" s="621" t="s">
        <v>3381</v>
      </c>
      <c r="T2572" s="619" t="s">
        <v>1079</v>
      </c>
    </row>
    <row r="2573" spans="1:20">
      <c r="A2573" s="630">
        <v>2602690</v>
      </c>
      <c r="B2573" s="623"/>
      <c r="C2573" s="623"/>
      <c r="D2573" s="623" t="s">
        <v>851</v>
      </c>
      <c r="E2573" s="627" t="s">
        <v>1081</v>
      </c>
      <c r="F2573" s="631" t="s">
        <v>3487</v>
      </c>
      <c r="G2573" s="661">
        <v>260</v>
      </c>
      <c r="H2573" s="633">
        <v>2690</v>
      </c>
      <c r="I2573" s="618"/>
      <c r="J2573" s="619" t="s">
        <v>1081</v>
      </c>
      <c r="K2573" s="618"/>
      <c r="L2573" s="619">
        <v>95</v>
      </c>
      <c r="M2573" s="620">
        <v>90</v>
      </c>
      <c r="N2573" s="619"/>
      <c r="O2573" s="619">
        <v>18</v>
      </c>
      <c r="P2573" s="619" t="s">
        <v>760</v>
      </c>
      <c r="Q2573" s="662" t="s">
        <v>3380</v>
      </c>
      <c r="R2573" s="618"/>
      <c r="S2573" s="621" t="s">
        <v>3381</v>
      </c>
      <c r="T2573" s="619" t="s">
        <v>1081</v>
      </c>
    </row>
    <row r="2574" spans="1:20">
      <c r="A2574" s="630">
        <v>2702690</v>
      </c>
      <c r="B2574" s="623"/>
      <c r="C2574" s="623"/>
      <c r="D2574" s="623" t="s">
        <v>854</v>
      </c>
      <c r="E2574" s="627" t="s">
        <v>1083</v>
      </c>
      <c r="F2574" s="631" t="s">
        <v>3488</v>
      </c>
      <c r="G2574" s="661">
        <v>270</v>
      </c>
      <c r="H2574" s="633">
        <v>2690</v>
      </c>
      <c r="I2574" s="618"/>
      <c r="J2574" s="619" t="s">
        <v>1083</v>
      </c>
      <c r="K2574" s="618"/>
      <c r="L2574" s="619">
        <v>94</v>
      </c>
      <c r="M2574" s="620">
        <v>89</v>
      </c>
      <c r="N2574" s="619"/>
      <c r="O2574" s="619">
        <v>18</v>
      </c>
      <c r="P2574" s="619" t="s">
        <v>760</v>
      </c>
      <c r="Q2574" s="662" t="s">
        <v>3380</v>
      </c>
      <c r="R2574" s="618"/>
      <c r="S2574" s="621" t="s">
        <v>3381</v>
      </c>
      <c r="T2574" s="619" t="s">
        <v>1083</v>
      </c>
    </row>
    <row r="2575" spans="1:20">
      <c r="A2575" s="630">
        <v>2812690</v>
      </c>
      <c r="B2575" s="623"/>
      <c r="C2575" s="623"/>
      <c r="D2575" s="623" t="s">
        <v>857</v>
      </c>
      <c r="E2575" s="627" t="s">
        <v>1085</v>
      </c>
      <c r="F2575" s="631" t="s">
        <v>3489</v>
      </c>
      <c r="G2575" s="661">
        <v>281</v>
      </c>
      <c r="H2575" s="633">
        <v>2690</v>
      </c>
      <c r="I2575" s="618"/>
      <c r="J2575" s="619" t="s">
        <v>1085</v>
      </c>
      <c r="K2575" s="618"/>
      <c r="L2575" s="619">
        <v>95</v>
      </c>
      <c r="M2575" s="620">
        <v>90</v>
      </c>
      <c r="N2575" s="619"/>
      <c r="O2575" s="619">
        <v>18</v>
      </c>
      <c r="P2575" s="619" t="s">
        <v>760</v>
      </c>
      <c r="Q2575" s="662" t="s">
        <v>3380</v>
      </c>
      <c r="R2575" s="618"/>
      <c r="S2575" s="621" t="s">
        <v>3381</v>
      </c>
      <c r="T2575" s="619" t="s">
        <v>1085</v>
      </c>
    </row>
    <row r="2576" spans="1:20">
      <c r="A2576" s="630">
        <v>2822690</v>
      </c>
      <c r="B2576" s="623"/>
      <c r="C2576" s="623"/>
      <c r="D2576" s="623" t="s">
        <v>860</v>
      </c>
      <c r="E2576" s="627" t="s">
        <v>1087</v>
      </c>
      <c r="F2576" s="631" t="s">
        <v>3490</v>
      </c>
      <c r="G2576" s="661">
        <v>282</v>
      </c>
      <c r="H2576" s="633">
        <v>2690</v>
      </c>
      <c r="I2576" s="618"/>
      <c r="J2576" s="619" t="s">
        <v>1087</v>
      </c>
      <c r="K2576" s="618"/>
      <c r="L2576" s="619">
        <v>95</v>
      </c>
      <c r="M2576" s="620">
        <v>90</v>
      </c>
      <c r="N2576" s="619"/>
      <c r="O2576" s="619">
        <v>18</v>
      </c>
      <c r="P2576" s="619" t="s">
        <v>760</v>
      </c>
      <c r="Q2576" s="662" t="s">
        <v>3380</v>
      </c>
      <c r="R2576" s="618"/>
      <c r="S2576" s="621" t="s">
        <v>3381</v>
      </c>
      <c r="T2576" s="619" t="s">
        <v>1087</v>
      </c>
    </row>
    <row r="2577" spans="1:20" ht="16" thickBot="1">
      <c r="A2577" s="630">
        <v>2902690</v>
      </c>
      <c r="B2577" s="667"/>
      <c r="C2577" s="623"/>
      <c r="D2577" s="623" t="s">
        <v>1089</v>
      </c>
      <c r="E2577" s="627" t="s">
        <v>1090</v>
      </c>
      <c r="F2577" s="631" t="s">
        <v>3491</v>
      </c>
      <c r="G2577" s="661">
        <v>290</v>
      </c>
      <c r="H2577" s="633">
        <v>2690</v>
      </c>
      <c r="I2577" s="618"/>
      <c r="J2577" s="619" t="s">
        <v>1090</v>
      </c>
      <c r="K2577" s="618"/>
      <c r="L2577" s="619">
        <v>95</v>
      </c>
      <c r="M2577" s="620">
        <v>90</v>
      </c>
      <c r="N2577" s="619"/>
      <c r="O2577" s="619">
        <v>18</v>
      </c>
      <c r="P2577" s="619" t="s">
        <v>760</v>
      </c>
      <c r="Q2577" s="662" t="s">
        <v>3380</v>
      </c>
      <c r="R2577" s="618"/>
      <c r="S2577" s="621" t="s">
        <v>3381</v>
      </c>
      <c r="T2577" s="619" t="s">
        <v>1090</v>
      </c>
    </row>
    <row r="2578" spans="1:20" ht="16.5" thickTop="1" thickBot="1">
      <c r="A2578" s="622"/>
      <c r="B2578" s="613"/>
      <c r="C2578" s="772" t="s">
        <v>3492</v>
      </c>
      <c r="D2578" s="773"/>
      <c r="E2578" s="782"/>
      <c r="F2578" s="656" t="s">
        <v>614</v>
      </c>
      <c r="G2578" s="657"/>
      <c r="H2578" s="658"/>
      <c r="I2578" s="618"/>
      <c r="J2578" s="618"/>
      <c r="K2578" s="618"/>
      <c r="L2578" s="618"/>
      <c r="M2578" s="618"/>
      <c r="N2578" s="618"/>
      <c r="O2578" s="618"/>
      <c r="P2578" s="618"/>
      <c r="Q2578" s="662"/>
      <c r="R2578" s="618"/>
      <c r="S2578" s="621"/>
      <c r="T2578" s="618"/>
    </row>
    <row r="2579" spans="1:20" ht="16" thickTop="1">
      <c r="A2579" s="622"/>
      <c r="B2579" s="623"/>
      <c r="C2579" s="623"/>
      <c r="D2579" s="623"/>
      <c r="E2579" s="627"/>
      <c r="F2579" s="626"/>
      <c r="G2579" s="623"/>
      <c r="H2579" s="627"/>
      <c r="I2579" s="618"/>
      <c r="J2579" s="618"/>
      <c r="K2579" s="618"/>
      <c r="L2579" s="618"/>
      <c r="M2579" s="618"/>
      <c r="N2579" s="618"/>
      <c r="O2579" s="618"/>
      <c r="P2579" s="618"/>
      <c r="Q2579" s="662"/>
      <c r="R2579" s="618"/>
      <c r="S2579" s="621"/>
      <c r="T2579" s="618"/>
    </row>
    <row r="2580" spans="1:20">
      <c r="A2580" s="622"/>
      <c r="B2580" s="628" t="s">
        <v>3493</v>
      </c>
      <c r="C2580" s="770" t="s">
        <v>687</v>
      </c>
      <c r="D2580" s="771"/>
      <c r="E2580" s="775"/>
      <c r="F2580" s="626"/>
      <c r="G2580" s="623"/>
      <c r="H2580" s="627"/>
      <c r="I2580" s="618"/>
      <c r="J2580" s="618"/>
      <c r="K2580" s="618"/>
      <c r="L2580" s="618"/>
      <c r="M2580" s="618"/>
      <c r="N2580" s="618"/>
      <c r="O2580" s="618"/>
      <c r="P2580" s="618"/>
      <c r="Q2580" s="662"/>
      <c r="R2580" s="618"/>
      <c r="S2580" s="621"/>
      <c r="T2580" s="618"/>
    </row>
    <row r="2581" spans="1:20">
      <c r="A2581" s="622"/>
      <c r="B2581" s="623"/>
      <c r="C2581" s="629">
        <v>82</v>
      </c>
      <c r="D2581" s="784" t="s">
        <v>3494</v>
      </c>
      <c r="E2581" s="775"/>
      <c r="F2581" s="626"/>
      <c r="G2581" s="623"/>
      <c r="H2581" s="627"/>
      <c r="I2581" s="618"/>
      <c r="J2581" s="618"/>
      <c r="K2581" s="618"/>
      <c r="L2581" s="618"/>
      <c r="M2581" s="618"/>
      <c r="N2581" s="618"/>
      <c r="O2581" s="618"/>
      <c r="P2581" s="618"/>
      <c r="Q2581" s="662"/>
      <c r="R2581" s="618"/>
      <c r="S2581" s="621"/>
      <c r="T2581" s="618"/>
    </row>
    <row r="2582" spans="1:20">
      <c r="A2582" s="622"/>
      <c r="B2582" s="623"/>
      <c r="C2582" s="623"/>
      <c r="D2582" s="623" t="s">
        <v>756</v>
      </c>
      <c r="E2582" s="627" t="s">
        <v>244</v>
      </c>
      <c r="F2582" s="626"/>
      <c r="G2582" s="623"/>
      <c r="H2582" s="627"/>
      <c r="I2582" s="618"/>
      <c r="J2582" s="618"/>
      <c r="K2582" s="618"/>
      <c r="L2582" s="618"/>
      <c r="M2582" s="618"/>
      <c r="N2582" s="618"/>
      <c r="O2582" s="618"/>
      <c r="P2582" s="618"/>
      <c r="Q2582" s="662"/>
      <c r="R2582" s="618"/>
      <c r="S2582" s="621"/>
      <c r="T2582" s="618"/>
    </row>
    <row r="2583" spans="1:20">
      <c r="A2583" s="630">
        <v>1112710</v>
      </c>
      <c r="B2583" s="623"/>
      <c r="C2583" s="623"/>
      <c r="D2583" s="623"/>
      <c r="E2583" s="627" t="s">
        <v>1844</v>
      </c>
      <c r="F2583" s="631" t="s">
        <v>3495</v>
      </c>
      <c r="G2583" s="661">
        <v>111</v>
      </c>
      <c r="H2583" s="633">
        <v>2710</v>
      </c>
      <c r="I2583" s="618"/>
      <c r="J2583" s="619" t="s">
        <v>1844</v>
      </c>
      <c r="K2583" s="618"/>
      <c r="L2583" s="619">
        <v>81</v>
      </c>
      <c r="M2583" s="620">
        <v>76</v>
      </c>
      <c r="N2583" s="619"/>
      <c r="O2583" s="619">
        <v>19</v>
      </c>
      <c r="P2583" s="619" t="s">
        <v>760</v>
      </c>
      <c r="Q2583" s="662" t="s">
        <v>1002</v>
      </c>
      <c r="R2583" s="618"/>
      <c r="S2583" s="621" t="s">
        <v>3494</v>
      </c>
      <c r="T2583" s="619" t="s">
        <v>1847</v>
      </c>
    </row>
    <row r="2584" spans="1:20">
      <c r="A2584" s="630">
        <v>1142710</v>
      </c>
      <c r="B2584" s="623"/>
      <c r="C2584" s="623"/>
      <c r="D2584" s="623"/>
      <c r="E2584" s="627" t="s">
        <v>3196</v>
      </c>
      <c r="F2584" s="631" t="s">
        <v>3496</v>
      </c>
      <c r="G2584" s="661">
        <v>114</v>
      </c>
      <c r="H2584" s="633">
        <v>2710</v>
      </c>
      <c r="I2584" s="618"/>
      <c r="J2584" s="619" t="s">
        <v>3196</v>
      </c>
      <c r="K2584" s="618"/>
      <c r="L2584" s="619">
        <v>84</v>
      </c>
      <c r="M2584" s="620">
        <v>79</v>
      </c>
      <c r="N2584" s="619"/>
      <c r="O2584" s="619">
        <v>19</v>
      </c>
      <c r="P2584" s="619" t="s">
        <v>760</v>
      </c>
      <c r="Q2584" s="662" t="s">
        <v>1002</v>
      </c>
      <c r="R2584" s="618"/>
      <c r="S2584" s="621" t="s">
        <v>3494</v>
      </c>
      <c r="T2584" s="619" t="s">
        <v>1853</v>
      </c>
    </row>
    <row r="2585" spans="1:20">
      <c r="A2585" s="630">
        <v>1002710</v>
      </c>
      <c r="B2585" s="623"/>
      <c r="C2585" s="623"/>
      <c r="D2585" s="623"/>
      <c r="E2585" s="627" t="s">
        <v>3497</v>
      </c>
      <c r="F2585" s="631" t="s">
        <v>3498</v>
      </c>
      <c r="G2585" s="661">
        <v>100</v>
      </c>
      <c r="H2585" s="633">
        <v>2710</v>
      </c>
      <c r="I2585" s="618"/>
      <c r="J2585" s="619" t="s">
        <v>3497</v>
      </c>
      <c r="K2585" s="618"/>
      <c r="L2585" s="619">
        <v>86</v>
      </c>
      <c r="M2585" s="620">
        <v>81</v>
      </c>
      <c r="N2585" s="619"/>
      <c r="O2585" s="619">
        <v>19</v>
      </c>
      <c r="P2585" s="619" t="s">
        <v>760</v>
      </c>
      <c r="Q2585" s="662" t="s">
        <v>1002</v>
      </c>
      <c r="R2585" s="618"/>
      <c r="S2585" s="621" t="s">
        <v>3494</v>
      </c>
      <c r="T2585" s="619" t="s">
        <v>3499</v>
      </c>
    </row>
    <row r="2586" spans="1:20">
      <c r="A2586" s="630">
        <v>3002710</v>
      </c>
      <c r="B2586" s="623"/>
      <c r="C2586" s="623"/>
      <c r="D2586" s="623" t="s">
        <v>775</v>
      </c>
      <c r="E2586" s="627" t="s">
        <v>1112</v>
      </c>
      <c r="F2586" s="631" t="s">
        <v>3500</v>
      </c>
      <c r="G2586" s="661">
        <v>300</v>
      </c>
      <c r="H2586" s="633">
        <v>2710</v>
      </c>
      <c r="I2586" s="618"/>
      <c r="J2586" s="619" t="s">
        <v>1112</v>
      </c>
      <c r="K2586" s="618"/>
      <c r="L2586" s="619">
        <v>101</v>
      </c>
      <c r="M2586" s="620">
        <v>96</v>
      </c>
      <c r="N2586" s="619"/>
      <c r="O2586" s="619">
        <v>19</v>
      </c>
      <c r="P2586" s="619" t="s">
        <v>760</v>
      </c>
      <c r="Q2586" s="662"/>
      <c r="R2586" s="618"/>
      <c r="S2586" s="621" t="s">
        <v>3494</v>
      </c>
      <c r="T2586" s="619" t="s">
        <v>1112</v>
      </c>
    </row>
    <row r="2587" spans="1:20">
      <c r="A2587" s="622"/>
      <c r="B2587" s="623"/>
      <c r="C2587" s="623"/>
      <c r="D2587" s="623" t="s">
        <v>799</v>
      </c>
      <c r="E2587" s="627" t="s">
        <v>250</v>
      </c>
      <c r="F2587" s="626"/>
      <c r="G2587" s="623"/>
      <c r="H2587" s="627"/>
      <c r="I2587" s="618"/>
      <c r="J2587" s="618"/>
      <c r="K2587" s="618"/>
      <c r="L2587" s="618"/>
      <c r="M2587" s="618"/>
      <c r="N2587" s="618"/>
      <c r="O2587" s="618"/>
      <c r="P2587" s="618"/>
      <c r="Q2587" s="662"/>
      <c r="R2587" s="618"/>
      <c r="S2587" s="621"/>
      <c r="T2587" s="618"/>
    </row>
    <row r="2588" spans="1:20">
      <c r="A2588" s="630">
        <v>4302710</v>
      </c>
      <c r="B2588" s="623"/>
      <c r="C2588" s="623"/>
      <c r="D2588" s="623"/>
      <c r="E2588" s="627" t="s">
        <v>1114</v>
      </c>
      <c r="F2588" s="631" t="s">
        <v>3501</v>
      </c>
      <c r="G2588" s="661">
        <v>430</v>
      </c>
      <c r="H2588" s="633">
        <v>2710</v>
      </c>
      <c r="I2588" s="618"/>
      <c r="J2588" s="619" t="s">
        <v>1114</v>
      </c>
      <c r="K2588" s="618"/>
      <c r="L2588" s="619">
        <v>107</v>
      </c>
      <c r="M2588" s="620">
        <v>102</v>
      </c>
      <c r="N2588" s="619"/>
      <c r="O2588" s="619">
        <v>19</v>
      </c>
      <c r="P2588" s="619" t="s">
        <v>760</v>
      </c>
      <c r="Q2588" s="662"/>
      <c r="R2588" s="618"/>
      <c r="S2588" s="621" t="s">
        <v>3494</v>
      </c>
      <c r="T2588" s="619" t="s">
        <v>1021</v>
      </c>
    </row>
    <row r="2589" spans="1:20">
      <c r="A2589" s="630">
        <v>4002710</v>
      </c>
      <c r="B2589" s="623"/>
      <c r="C2589" s="623"/>
      <c r="D2589" s="623"/>
      <c r="E2589" s="627" t="s">
        <v>3005</v>
      </c>
      <c r="F2589" s="631" t="s">
        <v>3502</v>
      </c>
      <c r="G2589" s="661">
        <v>400</v>
      </c>
      <c r="H2589" s="633">
        <v>2710</v>
      </c>
      <c r="I2589" s="618"/>
      <c r="J2589" s="619" t="s">
        <v>3005</v>
      </c>
      <c r="K2589" s="618"/>
      <c r="L2589" s="619">
        <v>108</v>
      </c>
      <c r="M2589" s="620">
        <v>103</v>
      </c>
      <c r="N2589" s="619"/>
      <c r="O2589" s="619">
        <v>19</v>
      </c>
      <c r="P2589" s="619" t="s">
        <v>760</v>
      </c>
      <c r="Q2589" s="662"/>
      <c r="R2589" s="618"/>
      <c r="S2589" s="621" t="s">
        <v>3494</v>
      </c>
      <c r="T2589" s="619" t="s">
        <v>1025</v>
      </c>
    </row>
    <row r="2590" spans="1:20">
      <c r="A2590" s="622"/>
      <c r="B2590" s="623"/>
      <c r="C2590" s="623"/>
      <c r="D2590" s="623" t="s">
        <v>803</v>
      </c>
      <c r="E2590" s="627" t="s">
        <v>252</v>
      </c>
      <c r="F2590" s="626"/>
      <c r="G2590" s="623"/>
      <c r="H2590" s="627"/>
      <c r="I2590" s="618"/>
      <c r="J2590" s="618"/>
      <c r="K2590" s="618"/>
      <c r="L2590" s="618"/>
      <c r="M2590" s="618"/>
      <c r="N2590" s="618"/>
      <c r="O2590" s="618"/>
      <c r="P2590" s="618"/>
      <c r="Q2590" s="662"/>
      <c r="R2590" s="618"/>
      <c r="S2590" s="621"/>
      <c r="T2590" s="618"/>
    </row>
    <row r="2591" spans="1:20">
      <c r="A2591" s="622"/>
      <c r="B2591" s="623"/>
      <c r="C2591" s="623"/>
      <c r="D2591" s="623"/>
      <c r="E2591" s="627" t="s">
        <v>3503</v>
      </c>
      <c r="F2591" s="626"/>
      <c r="G2591" s="623"/>
      <c r="H2591" s="627"/>
      <c r="I2591" s="618"/>
      <c r="J2591" s="618"/>
      <c r="K2591" s="618"/>
      <c r="L2591" s="618"/>
      <c r="M2591" s="618"/>
      <c r="N2591" s="618"/>
      <c r="O2591" s="618"/>
      <c r="P2591" s="618"/>
      <c r="Q2591" s="662"/>
      <c r="R2591" s="618"/>
      <c r="S2591" s="621"/>
      <c r="T2591" s="618"/>
    </row>
    <row r="2592" spans="1:20">
      <c r="A2592" s="630">
        <v>5112710</v>
      </c>
      <c r="B2592" s="623"/>
      <c r="C2592" s="623"/>
      <c r="D2592" s="623"/>
      <c r="E2592" s="627" t="s">
        <v>3504</v>
      </c>
      <c r="F2592" s="631" t="s">
        <v>3505</v>
      </c>
      <c r="G2592" s="661">
        <v>511</v>
      </c>
      <c r="H2592" s="633">
        <v>2710</v>
      </c>
      <c r="I2592" s="618"/>
      <c r="J2592" s="619" t="s">
        <v>3504</v>
      </c>
      <c r="K2592" s="618"/>
      <c r="L2592" s="619">
        <v>111</v>
      </c>
      <c r="M2592" s="620">
        <v>106</v>
      </c>
      <c r="N2592" s="619"/>
      <c r="O2592" s="619">
        <v>19</v>
      </c>
      <c r="P2592" s="619" t="s">
        <v>760</v>
      </c>
      <c r="Q2592" s="662"/>
      <c r="R2592" s="618"/>
      <c r="S2592" s="621" t="s">
        <v>3494</v>
      </c>
      <c r="T2592" s="619" t="s">
        <v>3506</v>
      </c>
    </row>
    <row r="2593" spans="1:20">
      <c r="A2593" s="630">
        <v>5122710</v>
      </c>
      <c r="B2593" s="623"/>
      <c r="C2593" s="623"/>
      <c r="D2593" s="623"/>
      <c r="E2593" s="627" t="s">
        <v>3507</v>
      </c>
      <c r="F2593" s="631" t="s">
        <v>3508</v>
      </c>
      <c r="G2593" s="661">
        <v>512</v>
      </c>
      <c r="H2593" s="633">
        <v>2710</v>
      </c>
      <c r="I2593" s="618"/>
      <c r="J2593" s="619" t="s">
        <v>3507</v>
      </c>
      <c r="K2593" s="618"/>
      <c r="L2593" s="619">
        <v>111</v>
      </c>
      <c r="M2593" s="620">
        <v>106</v>
      </c>
      <c r="N2593" s="619"/>
      <c r="O2593" s="619">
        <v>19</v>
      </c>
      <c r="P2593" s="619" t="s">
        <v>760</v>
      </c>
      <c r="Q2593" s="662"/>
      <c r="R2593" s="618"/>
      <c r="S2593" s="621" t="s">
        <v>3494</v>
      </c>
      <c r="T2593" s="619" t="s">
        <v>3509</v>
      </c>
    </row>
    <row r="2594" spans="1:20">
      <c r="A2594" s="630">
        <v>5822710</v>
      </c>
      <c r="B2594" s="623"/>
      <c r="C2594" s="623"/>
      <c r="D2594" s="623"/>
      <c r="E2594" s="627" t="s">
        <v>1134</v>
      </c>
      <c r="F2594" s="631" t="s">
        <v>3510</v>
      </c>
      <c r="G2594" s="661">
        <v>582</v>
      </c>
      <c r="H2594" s="633">
        <v>2710</v>
      </c>
      <c r="I2594" s="618"/>
      <c r="J2594" s="619" t="s">
        <v>1134</v>
      </c>
      <c r="K2594" s="618"/>
      <c r="L2594" s="619">
        <v>118</v>
      </c>
      <c r="M2594" s="620">
        <v>109</v>
      </c>
      <c r="N2594" s="619"/>
      <c r="O2594" s="619">
        <v>19</v>
      </c>
      <c r="P2594" s="619" t="s">
        <v>760</v>
      </c>
      <c r="Q2594" s="662"/>
      <c r="R2594" s="618"/>
      <c r="S2594" s="621" t="s">
        <v>3494</v>
      </c>
      <c r="T2594" s="619" t="s">
        <v>1037</v>
      </c>
    </row>
    <row r="2595" spans="1:20">
      <c r="A2595" s="630">
        <v>5002710</v>
      </c>
      <c r="B2595" s="623"/>
      <c r="C2595" s="623"/>
      <c r="D2595" s="623"/>
      <c r="E2595" s="627" t="s">
        <v>1136</v>
      </c>
      <c r="F2595" s="631" t="s">
        <v>3511</v>
      </c>
      <c r="G2595" s="661">
        <v>500</v>
      </c>
      <c r="H2595" s="633">
        <v>2710</v>
      </c>
      <c r="I2595" s="618"/>
      <c r="J2595" s="619" t="s">
        <v>1136</v>
      </c>
      <c r="K2595" s="618"/>
      <c r="L2595" s="619">
        <v>111</v>
      </c>
      <c r="M2595" s="620">
        <v>106</v>
      </c>
      <c r="N2595" s="619"/>
      <c r="O2595" s="619">
        <v>19</v>
      </c>
      <c r="P2595" s="619" t="s">
        <v>760</v>
      </c>
      <c r="Q2595" s="662"/>
      <c r="R2595" s="618"/>
      <c r="S2595" s="621" t="s">
        <v>3494</v>
      </c>
      <c r="T2595" s="619" t="s">
        <v>252</v>
      </c>
    </row>
    <row r="2596" spans="1:20">
      <c r="A2596" s="622"/>
      <c r="B2596" s="623"/>
      <c r="C2596" s="623"/>
      <c r="D2596" s="623" t="s">
        <v>848</v>
      </c>
      <c r="E2596" s="627" t="s">
        <v>254</v>
      </c>
      <c r="F2596" s="626"/>
      <c r="G2596" s="623"/>
      <c r="H2596" s="627"/>
      <c r="I2596" s="618"/>
      <c r="J2596" s="618"/>
      <c r="K2596" s="618"/>
      <c r="L2596" s="618"/>
      <c r="M2596" s="618"/>
      <c r="N2596" s="618"/>
      <c r="O2596" s="618"/>
      <c r="P2596" s="618"/>
      <c r="Q2596" s="662"/>
      <c r="R2596" s="618"/>
      <c r="S2596" s="621"/>
      <c r="T2596" s="618"/>
    </row>
    <row r="2597" spans="1:20">
      <c r="A2597" s="630">
        <v>6152710</v>
      </c>
      <c r="B2597" s="623"/>
      <c r="C2597" s="623"/>
      <c r="D2597" s="623"/>
      <c r="E2597" s="627" t="s">
        <v>1138</v>
      </c>
      <c r="F2597" s="631" t="s">
        <v>3512</v>
      </c>
      <c r="G2597" s="661">
        <v>615</v>
      </c>
      <c r="H2597" s="633">
        <v>2710</v>
      </c>
      <c r="I2597" s="618"/>
      <c r="J2597" s="619" t="s">
        <v>1138</v>
      </c>
      <c r="K2597" s="618"/>
      <c r="L2597" s="619">
        <v>126</v>
      </c>
      <c r="M2597" s="620">
        <v>117</v>
      </c>
      <c r="N2597" s="619"/>
      <c r="O2597" s="619">
        <v>19</v>
      </c>
      <c r="P2597" s="619" t="s">
        <v>760</v>
      </c>
      <c r="Q2597" s="662" t="s">
        <v>1043</v>
      </c>
      <c r="R2597" s="618"/>
      <c r="S2597" s="621" t="s">
        <v>3494</v>
      </c>
      <c r="T2597" s="619" t="s">
        <v>1041</v>
      </c>
    </row>
    <row r="2598" spans="1:20">
      <c r="A2598" s="630">
        <v>6102710</v>
      </c>
      <c r="B2598" s="623"/>
      <c r="C2598" s="623"/>
      <c r="D2598" s="623"/>
      <c r="E2598" s="627" t="s">
        <v>1140</v>
      </c>
      <c r="F2598" s="631" t="s">
        <v>3513</v>
      </c>
      <c r="G2598" s="661">
        <v>610</v>
      </c>
      <c r="H2598" s="633">
        <v>2710</v>
      </c>
      <c r="I2598" s="618"/>
      <c r="J2598" s="619" t="s">
        <v>1140</v>
      </c>
      <c r="K2598" s="618"/>
      <c r="L2598" s="619">
        <v>122</v>
      </c>
      <c r="M2598" s="620">
        <v>113</v>
      </c>
      <c r="N2598" s="619"/>
      <c r="O2598" s="619">
        <v>19</v>
      </c>
      <c r="P2598" s="619" t="s">
        <v>760</v>
      </c>
      <c r="Q2598" s="662" t="s">
        <v>1043</v>
      </c>
      <c r="R2598" s="618"/>
      <c r="S2598" s="621" t="s">
        <v>3494</v>
      </c>
      <c r="T2598" s="619" t="s">
        <v>39</v>
      </c>
    </row>
    <row r="2599" spans="1:20">
      <c r="A2599" s="630">
        <v>6002710</v>
      </c>
      <c r="B2599" s="623"/>
      <c r="C2599" s="623"/>
      <c r="D2599" s="623"/>
      <c r="E2599" s="627" t="s">
        <v>1869</v>
      </c>
      <c r="F2599" s="631" t="s">
        <v>3514</v>
      </c>
      <c r="G2599" s="661">
        <v>600</v>
      </c>
      <c r="H2599" s="633">
        <v>2710</v>
      </c>
      <c r="I2599" s="618"/>
      <c r="J2599" s="619" t="s">
        <v>1869</v>
      </c>
      <c r="K2599" s="618"/>
      <c r="L2599" s="619">
        <v>126</v>
      </c>
      <c r="M2599" s="620">
        <v>117</v>
      </c>
      <c r="N2599" s="619"/>
      <c r="O2599" s="619">
        <v>19</v>
      </c>
      <c r="P2599" s="619" t="s">
        <v>760</v>
      </c>
      <c r="Q2599" s="662"/>
      <c r="R2599" s="618"/>
      <c r="S2599" s="621" t="s">
        <v>3494</v>
      </c>
      <c r="T2599" s="619" t="s">
        <v>1048</v>
      </c>
    </row>
    <row r="2600" spans="1:20">
      <c r="A2600" s="622"/>
      <c r="B2600" s="623"/>
      <c r="C2600" s="623"/>
      <c r="D2600" s="623" t="s">
        <v>851</v>
      </c>
      <c r="E2600" s="627" t="s">
        <v>1050</v>
      </c>
      <c r="F2600" s="626"/>
      <c r="G2600" s="623"/>
      <c r="H2600" s="627"/>
      <c r="I2600" s="618"/>
      <c r="J2600" s="618"/>
      <c r="K2600" s="618"/>
      <c r="L2600" s="618"/>
      <c r="M2600" s="618"/>
      <c r="N2600" s="618"/>
      <c r="O2600" s="618"/>
      <c r="P2600" s="618"/>
      <c r="Q2600" s="662"/>
      <c r="R2600" s="618"/>
      <c r="S2600" s="621"/>
      <c r="T2600" s="618"/>
    </row>
    <row r="2601" spans="1:20">
      <c r="A2601" s="630">
        <v>7342710</v>
      </c>
      <c r="B2601" s="623"/>
      <c r="C2601" s="623"/>
      <c r="D2601" s="623"/>
      <c r="E2601" s="627" t="s">
        <v>1146</v>
      </c>
      <c r="F2601" s="631" t="s">
        <v>3515</v>
      </c>
      <c r="G2601" s="661">
        <v>734</v>
      </c>
      <c r="H2601" s="633">
        <v>2710</v>
      </c>
      <c r="I2601" s="618"/>
      <c r="J2601" s="619" t="s">
        <v>1146</v>
      </c>
      <c r="K2601" s="618"/>
      <c r="L2601" s="619">
        <v>131</v>
      </c>
      <c r="M2601" s="620">
        <v>122</v>
      </c>
      <c r="N2601" s="619"/>
      <c r="O2601" s="619">
        <v>19</v>
      </c>
      <c r="P2601" s="619" t="s">
        <v>760</v>
      </c>
      <c r="Q2601" s="662"/>
      <c r="R2601" s="618"/>
      <c r="S2601" s="621" t="s">
        <v>3494</v>
      </c>
      <c r="T2601" s="619" t="s">
        <v>1051</v>
      </c>
    </row>
    <row r="2602" spans="1:20">
      <c r="A2602" s="630">
        <v>7352710</v>
      </c>
      <c r="B2602" s="623"/>
      <c r="C2602" s="623"/>
      <c r="D2602" s="623"/>
      <c r="E2602" s="627" t="s">
        <v>1148</v>
      </c>
      <c r="F2602" s="631" t="s">
        <v>3516</v>
      </c>
      <c r="G2602" s="661">
        <v>735</v>
      </c>
      <c r="H2602" s="633">
        <v>2710</v>
      </c>
      <c r="I2602" s="618"/>
      <c r="J2602" s="619" t="s">
        <v>1148</v>
      </c>
      <c r="K2602" s="618"/>
      <c r="L2602" s="619">
        <v>131</v>
      </c>
      <c r="M2602" s="620">
        <v>122</v>
      </c>
      <c r="N2602" s="619"/>
      <c r="O2602" s="619">
        <v>19</v>
      </c>
      <c r="P2602" s="619" t="s">
        <v>760</v>
      </c>
      <c r="Q2602" s="662"/>
      <c r="R2602" s="618"/>
      <c r="S2602" s="621" t="s">
        <v>3494</v>
      </c>
      <c r="T2602" s="619" t="s">
        <v>1053</v>
      </c>
    </row>
    <row r="2603" spans="1:20">
      <c r="A2603" s="630">
        <v>7302710</v>
      </c>
      <c r="B2603" s="623"/>
      <c r="C2603" s="623"/>
      <c r="D2603" s="623"/>
      <c r="E2603" s="627" t="s">
        <v>3517</v>
      </c>
      <c r="F2603" s="631" t="s">
        <v>3518</v>
      </c>
      <c r="G2603" s="661">
        <v>730</v>
      </c>
      <c r="H2603" s="633">
        <v>2710</v>
      </c>
      <c r="I2603" s="618"/>
      <c r="J2603" s="619" t="s">
        <v>3517</v>
      </c>
      <c r="K2603" s="618"/>
      <c r="L2603" s="619">
        <v>131</v>
      </c>
      <c r="M2603" s="620">
        <v>122</v>
      </c>
      <c r="N2603" s="619"/>
      <c r="O2603" s="619">
        <v>19</v>
      </c>
      <c r="P2603" s="619" t="s">
        <v>760</v>
      </c>
      <c r="Q2603" s="662"/>
      <c r="R2603" s="618"/>
      <c r="S2603" s="621" t="s">
        <v>3494</v>
      </c>
      <c r="T2603" s="619" t="s">
        <v>1055</v>
      </c>
    </row>
    <row r="2604" spans="1:20">
      <c r="A2604" s="630">
        <v>7002710</v>
      </c>
      <c r="B2604" s="623"/>
      <c r="C2604" s="623"/>
      <c r="D2604" s="623"/>
      <c r="E2604" s="627" t="s">
        <v>1152</v>
      </c>
      <c r="F2604" s="631" t="s">
        <v>3519</v>
      </c>
      <c r="G2604" s="661">
        <v>700</v>
      </c>
      <c r="H2604" s="633">
        <v>2710</v>
      </c>
      <c r="I2604" s="618"/>
      <c r="J2604" s="619" t="s">
        <v>1152</v>
      </c>
      <c r="K2604" s="618"/>
      <c r="L2604" s="619">
        <v>132</v>
      </c>
      <c r="M2604" s="620">
        <v>123</v>
      </c>
      <c r="N2604" s="619"/>
      <c r="O2604" s="619">
        <v>19</v>
      </c>
      <c r="P2604" s="619" t="s">
        <v>760</v>
      </c>
      <c r="Q2604" s="662"/>
      <c r="R2604" s="618"/>
      <c r="S2604" s="621" t="s">
        <v>3494</v>
      </c>
      <c r="T2604" s="619" t="s">
        <v>1057</v>
      </c>
    </row>
    <row r="2605" spans="1:20">
      <c r="A2605" s="622"/>
      <c r="B2605" s="623"/>
      <c r="C2605" s="623"/>
      <c r="D2605" s="623" t="s">
        <v>854</v>
      </c>
      <c r="E2605" s="627" t="s">
        <v>256</v>
      </c>
      <c r="F2605" s="626"/>
      <c r="G2605" s="623"/>
      <c r="H2605" s="627"/>
      <c r="I2605" s="618"/>
      <c r="J2605" s="618"/>
      <c r="K2605" s="618"/>
      <c r="L2605" s="618"/>
      <c r="M2605" s="618"/>
      <c r="N2605" s="618"/>
      <c r="O2605" s="618"/>
      <c r="P2605" s="618"/>
      <c r="Q2605" s="662"/>
      <c r="R2605" s="618"/>
      <c r="S2605" s="621"/>
      <c r="T2605" s="618"/>
    </row>
    <row r="2606" spans="1:20">
      <c r="A2606" s="630">
        <v>8952710</v>
      </c>
      <c r="B2606" s="623"/>
      <c r="C2606" s="623"/>
      <c r="D2606" s="623"/>
      <c r="E2606" s="627" t="s">
        <v>1154</v>
      </c>
      <c r="F2606" s="631" t="s">
        <v>3520</v>
      </c>
      <c r="G2606" s="661">
        <v>895</v>
      </c>
      <c r="H2606" s="633">
        <v>2710</v>
      </c>
      <c r="I2606" s="618"/>
      <c r="J2606" s="619" t="s">
        <v>1154</v>
      </c>
      <c r="K2606" s="618"/>
      <c r="L2606" s="619">
        <v>139</v>
      </c>
      <c r="M2606" s="620">
        <v>129</v>
      </c>
      <c r="N2606" s="619"/>
      <c r="O2606" s="619">
        <v>19</v>
      </c>
      <c r="P2606" s="619" t="s">
        <v>760</v>
      </c>
      <c r="Q2606" s="662"/>
      <c r="R2606" s="618"/>
      <c r="S2606" s="621" t="s">
        <v>3494</v>
      </c>
      <c r="T2606" s="619" t="s">
        <v>1059</v>
      </c>
    </row>
    <row r="2607" spans="1:20">
      <c r="A2607" s="630">
        <v>8002710</v>
      </c>
      <c r="B2607" s="623"/>
      <c r="C2607" s="623"/>
      <c r="D2607" s="623"/>
      <c r="E2607" s="627" t="s">
        <v>1156</v>
      </c>
      <c r="F2607" s="631" t="s">
        <v>3521</v>
      </c>
      <c r="G2607" s="661">
        <v>800</v>
      </c>
      <c r="H2607" s="633">
        <v>2710</v>
      </c>
      <c r="I2607" s="618"/>
      <c r="J2607" s="619" t="s">
        <v>1156</v>
      </c>
      <c r="K2607" s="618"/>
      <c r="L2607" s="619">
        <v>139</v>
      </c>
      <c r="M2607" s="620">
        <v>129</v>
      </c>
      <c r="N2607" s="619"/>
      <c r="O2607" s="619">
        <v>19</v>
      </c>
      <c r="P2607" s="619" t="s">
        <v>760</v>
      </c>
      <c r="Q2607" s="662"/>
      <c r="R2607" s="618"/>
      <c r="S2607" s="621" t="s">
        <v>3494</v>
      </c>
      <c r="T2607" s="619" t="s">
        <v>1061</v>
      </c>
    </row>
    <row r="2608" spans="1:20">
      <c r="A2608" s="622"/>
      <c r="B2608" s="623"/>
      <c r="C2608" s="623"/>
      <c r="D2608" s="623" t="s">
        <v>857</v>
      </c>
      <c r="E2608" s="627" t="s">
        <v>3522</v>
      </c>
      <c r="F2608" s="626"/>
      <c r="G2608" s="623"/>
      <c r="H2608" s="627"/>
      <c r="I2608" s="618"/>
      <c r="J2608" s="618"/>
      <c r="K2608" s="618"/>
      <c r="L2608" s="618"/>
      <c r="M2608" s="618"/>
      <c r="N2608" s="618"/>
      <c r="O2608" s="618"/>
      <c r="P2608" s="618"/>
      <c r="Q2608" s="662"/>
      <c r="R2608" s="618"/>
      <c r="S2608" s="621"/>
      <c r="T2608" s="618"/>
    </row>
    <row r="2609" spans="1:20">
      <c r="A2609" s="630">
        <v>2102710</v>
      </c>
      <c r="B2609" s="623"/>
      <c r="C2609" s="623"/>
      <c r="D2609" s="623"/>
      <c r="E2609" s="627" t="s">
        <v>1158</v>
      </c>
      <c r="F2609" s="631" t="s">
        <v>3523</v>
      </c>
      <c r="G2609" s="661">
        <v>210</v>
      </c>
      <c r="H2609" s="633">
        <v>2710</v>
      </c>
      <c r="I2609" s="618"/>
      <c r="J2609" s="619" t="s">
        <v>1158</v>
      </c>
      <c r="K2609" s="618"/>
      <c r="L2609" s="619">
        <v>89</v>
      </c>
      <c r="M2609" s="620">
        <v>84</v>
      </c>
      <c r="N2609" s="619"/>
      <c r="O2609" s="619">
        <v>19</v>
      </c>
      <c r="P2609" s="619" t="s">
        <v>760</v>
      </c>
      <c r="Q2609" s="662" t="s">
        <v>1002</v>
      </c>
      <c r="R2609" s="618"/>
      <c r="S2609" s="621" t="s">
        <v>3494</v>
      </c>
      <c r="T2609" s="619" t="s">
        <v>1064</v>
      </c>
    </row>
    <row r="2610" spans="1:20">
      <c r="A2610" s="630">
        <v>2202710</v>
      </c>
      <c r="B2610" s="623"/>
      <c r="C2610" s="623"/>
      <c r="D2610" s="623"/>
      <c r="E2610" s="627" t="s">
        <v>1160</v>
      </c>
      <c r="F2610" s="631" t="s">
        <v>3524</v>
      </c>
      <c r="G2610" s="661">
        <v>220</v>
      </c>
      <c r="H2610" s="633">
        <v>2710</v>
      </c>
      <c r="I2610" s="618"/>
      <c r="J2610" s="619" t="s">
        <v>1160</v>
      </c>
      <c r="K2610" s="618"/>
      <c r="L2610" s="619">
        <v>90</v>
      </c>
      <c r="M2610" s="620">
        <v>85</v>
      </c>
      <c r="N2610" s="619"/>
      <c r="O2610" s="619">
        <v>19</v>
      </c>
      <c r="P2610" s="619" t="s">
        <v>760</v>
      </c>
      <c r="Q2610" s="662" t="s">
        <v>1002</v>
      </c>
      <c r="R2610" s="618"/>
      <c r="S2610" s="621" t="s">
        <v>3494</v>
      </c>
      <c r="T2610" s="619" t="s">
        <v>1066</v>
      </c>
    </row>
    <row r="2611" spans="1:20">
      <c r="A2611" s="630">
        <v>2252710</v>
      </c>
      <c r="B2611" s="623"/>
      <c r="C2611" s="623"/>
      <c r="D2611" s="623"/>
      <c r="E2611" s="627" t="s">
        <v>1162</v>
      </c>
      <c r="F2611" s="631" t="s">
        <v>3525</v>
      </c>
      <c r="G2611" s="661">
        <v>225</v>
      </c>
      <c r="H2611" s="633">
        <v>2710</v>
      </c>
      <c r="I2611" s="618"/>
      <c r="J2611" s="619" t="s">
        <v>1162</v>
      </c>
      <c r="K2611" s="618"/>
      <c r="L2611" s="619">
        <v>91</v>
      </c>
      <c r="M2611" s="620">
        <v>86</v>
      </c>
      <c r="N2611" s="619"/>
      <c r="O2611" s="619">
        <v>19</v>
      </c>
      <c r="P2611" s="619" t="s">
        <v>760</v>
      </c>
      <c r="Q2611" s="662" t="s">
        <v>1002</v>
      </c>
      <c r="R2611" s="618"/>
      <c r="S2611" s="621" t="s">
        <v>3494</v>
      </c>
      <c r="T2611" s="619" t="s">
        <v>23</v>
      </c>
    </row>
    <row r="2612" spans="1:20">
      <c r="A2612" s="622"/>
      <c r="B2612" s="623"/>
      <c r="C2612" s="623"/>
      <c r="D2612" s="623"/>
      <c r="E2612" s="627" t="s">
        <v>1164</v>
      </c>
      <c r="F2612" s="626"/>
      <c r="G2612" s="623"/>
      <c r="H2612" s="627"/>
      <c r="I2612" s="618"/>
      <c r="J2612" s="618"/>
      <c r="K2612" s="618"/>
      <c r="L2612" s="618"/>
      <c r="M2612" s="618"/>
      <c r="N2612" s="618"/>
      <c r="O2612" s="618"/>
      <c r="P2612" s="618"/>
      <c r="Q2612" s="662"/>
      <c r="R2612" s="618"/>
      <c r="S2612" s="621"/>
      <c r="T2612" s="618"/>
    </row>
    <row r="2613" spans="1:20">
      <c r="A2613" s="630">
        <v>2312710</v>
      </c>
      <c r="B2613" s="623"/>
      <c r="C2613" s="623"/>
      <c r="D2613" s="623"/>
      <c r="E2613" s="627" t="s">
        <v>1165</v>
      </c>
      <c r="F2613" s="631" t="s">
        <v>3526</v>
      </c>
      <c r="G2613" s="661">
        <v>231</v>
      </c>
      <c r="H2613" s="633">
        <v>2710</v>
      </c>
      <c r="I2613" s="618"/>
      <c r="J2613" s="619" t="s">
        <v>1165</v>
      </c>
      <c r="K2613" s="618"/>
      <c r="L2613" s="619">
        <v>92</v>
      </c>
      <c r="M2613" s="620">
        <v>87</v>
      </c>
      <c r="N2613" s="619"/>
      <c r="O2613" s="619">
        <v>19</v>
      </c>
      <c r="P2613" s="619" t="s">
        <v>760</v>
      </c>
      <c r="Q2613" s="662" t="s">
        <v>1002</v>
      </c>
      <c r="R2613" s="618"/>
      <c r="S2613" s="621" t="s">
        <v>3494</v>
      </c>
      <c r="T2613" s="619" t="s">
        <v>1072</v>
      </c>
    </row>
    <row r="2614" spans="1:20">
      <c r="A2614" s="630">
        <v>2332710</v>
      </c>
      <c r="B2614" s="623"/>
      <c r="C2614" s="623"/>
      <c r="D2614" s="623"/>
      <c r="E2614" s="627" t="s">
        <v>1167</v>
      </c>
      <c r="F2614" s="631" t="s">
        <v>3527</v>
      </c>
      <c r="G2614" s="661">
        <v>233</v>
      </c>
      <c r="H2614" s="633">
        <v>2710</v>
      </c>
      <c r="I2614" s="618"/>
      <c r="J2614" s="619" t="s">
        <v>1167</v>
      </c>
      <c r="K2614" s="618"/>
      <c r="L2614" s="619">
        <v>92</v>
      </c>
      <c r="M2614" s="620">
        <v>87</v>
      </c>
      <c r="N2614" s="619"/>
      <c r="O2614" s="619">
        <v>19</v>
      </c>
      <c r="P2614" s="619" t="s">
        <v>760</v>
      </c>
      <c r="Q2614" s="662" t="s">
        <v>1002</v>
      </c>
      <c r="R2614" s="618"/>
      <c r="S2614" s="621" t="s">
        <v>3494</v>
      </c>
      <c r="T2614" s="619" t="s">
        <v>1169</v>
      </c>
    </row>
    <row r="2615" spans="1:20">
      <c r="A2615" s="630">
        <v>2392710</v>
      </c>
      <c r="B2615" s="623"/>
      <c r="C2615" s="623"/>
      <c r="D2615" s="623"/>
      <c r="E2615" s="627" t="s">
        <v>1170</v>
      </c>
      <c r="F2615" s="631" t="s">
        <v>3528</v>
      </c>
      <c r="G2615" s="661">
        <v>239</v>
      </c>
      <c r="H2615" s="633">
        <v>2710</v>
      </c>
      <c r="I2615" s="618"/>
      <c r="J2615" s="619" t="s">
        <v>1170</v>
      </c>
      <c r="K2615" s="618"/>
      <c r="L2615" s="619">
        <v>92</v>
      </c>
      <c r="M2615" s="620">
        <v>87</v>
      </c>
      <c r="N2615" s="619"/>
      <c r="O2615" s="619">
        <v>19</v>
      </c>
      <c r="P2615" s="619" t="s">
        <v>760</v>
      </c>
      <c r="Q2615" s="662" t="s">
        <v>1002</v>
      </c>
      <c r="R2615" s="618"/>
      <c r="S2615" s="621" t="s">
        <v>3494</v>
      </c>
      <c r="T2615" s="619" t="s">
        <v>1078</v>
      </c>
    </row>
    <row r="2616" spans="1:20">
      <c r="A2616" s="630">
        <v>2502710</v>
      </c>
      <c r="B2616" s="623"/>
      <c r="C2616" s="623"/>
      <c r="D2616" s="623"/>
      <c r="E2616" s="627" t="s">
        <v>1172</v>
      </c>
      <c r="F2616" s="631" t="s">
        <v>3529</v>
      </c>
      <c r="G2616" s="661">
        <v>250</v>
      </c>
      <c r="H2616" s="633">
        <v>2710</v>
      </c>
      <c r="I2616" s="618"/>
      <c r="J2616" s="619" t="s">
        <v>1172</v>
      </c>
      <c r="K2616" s="618"/>
      <c r="L2616" s="619">
        <v>93</v>
      </c>
      <c r="M2616" s="620">
        <v>88</v>
      </c>
      <c r="N2616" s="619"/>
      <c r="O2616" s="619">
        <v>19</v>
      </c>
      <c r="P2616" s="619" t="s">
        <v>760</v>
      </c>
      <c r="Q2616" s="662" t="s">
        <v>1002</v>
      </c>
      <c r="R2616" s="618"/>
      <c r="S2616" s="621" t="s">
        <v>3494</v>
      </c>
      <c r="T2616" s="619" t="s">
        <v>1079</v>
      </c>
    </row>
    <row r="2617" spans="1:20">
      <c r="A2617" s="630">
        <v>2602710</v>
      </c>
      <c r="B2617" s="623"/>
      <c r="C2617" s="623"/>
      <c r="D2617" s="623"/>
      <c r="E2617" s="627" t="s">
        <v>1174</v>
      </c>
      <c r="F2617" s="631" t="s">
        <v>3530</v>
      </c>
      <c r="G2617" s="661">
        <v>260</v>
      </c>
      <c r="H2617" s="633">
        <v>2710</v>
      </c>
      <c r="I2617" s="618"/>
      <c r="J2617" s="619" t="s">
        <v>1174</v>
      </c>
      <c r="K2617" s="618"/>
      <c r="L2617" s="619">
        <v>95</v>
      </c>
      <c r="M2617" s="620">
        <v>90</v>
      </c>
      <c r="N2617" s="619"/>
      <c r="O2617" s="619">
        <v>19</v>
      </c>
      <c r="P2617" s="619" t="s">
        <v>760</v>
      </c>
      <c r="Q2617" s="662" t="s">
        <v>1002</v>
      </c>
      <c r="R2617" s="618"/>
      <c r="S2617" s="621" t="s">
        <v>3494</v>
      </c>
      <c r="T2617" s="619" t="s">
        <v>1081</v>
      </c>
    </row>
    <row r="2618" spans="1:20">
      <c r="A2618" s="630">
        <v>2702710</v>
      </c>
      <c r="B2618" s="623"/>
      <c r="C2618" s="623"/>
      <c r="D2618" s="623"/>
      <c r="E2618" s="627" t="s">
        <v>1176</v>
      </c>
      <c r="F2618" s="631" t="s">
        <v>3531</v>
      </c>
      <c r="G2618" s="661">
        <v>270</v>
      </c>
      <c r="H2618" s="633">
        <v>2710</v>
      </c>
      <c r="I2618" s="618"/>
      <c r="J2618" s="619" t="s">
        <v>1176</v>
      </c>
      <c r="K2618" s="618"/>
      <c r="L2618" s="619">
        <v>94</v>
      </c>
      <c r="M2618" s="620">
        <v>89</v>
      </c>
      <c r="N2618" s="619"/>
      <c r="O2618" s="619">
        <v>19</v>
      </c>
      <c r="P2618" s="619" t="s">
        <v>760</v>
      </c>
      <c r="Q2618" s="662" t="s">
        <v>1002</v>
      </c>
      <c r="R2618" s="618"/>
      <c r="S2618" s="621" t="s">
        <v>3494</v>
      </c>
      <c r="T2618" s="619" t="s">
        <v>1083</v>
      </c>
    </row>
    <row r="2619" spans="1:20">
      <c r="A2619" s="630">
        <v>2812710</v>
      </c>
      <c r="B2619" s="623"/>
      <c r="C2619" s="623"/>
      <c r="D2619" s="623"/>
      <c r="E2619" s="627" t="s">
        <v>1178</v>
      </c>
      <c r="F2619" s="631" t="s">
        <v>3532</v>
      </c>
      <c r="G2619" s="661">
        <v>281</v>
      </c>
      <c r="H2619" s="633">
        <v>2710</v>
      </c>
      <c r="I2619" s="618"/>
      <c r="J2619" s="619" t="s">
        <v>1178</v>
      </c>
      <c r="K2619" s="618"/>
      <c r="L2619" s="619">
        <v>95</v>
      </c>
      <c r="M2619" s="620">
        <v>90</v>
      </c>
      <c r="N2619" s="619"/>
      <c r="O2619" s="619">
        <v>19</v>
      </c>
      <c r="P2619" s="619" t="s">
        <v>760</v>
      </c>
      <c r="Q2619" s="662" t="s">
        <v>1002</v>
      </c>
      <c r="R2619" s="618"/>
      <c r="S2619" s="621" t="s">
        <v>3494</v>
      </c>
      <c r="T2619" s="619" t="s">
        <v>1085</v>
      </c>
    </row>
    <row r="2620" spans="1:20">
      <c r="A2620" s="630">
        <v>2822710</v>
      </c>
      <c r="B2620" s="623"/>
      <c r="C2620" s="623"/>
      <c r="D2620" s="623"/>
      <c r="E2620" s="627" t="s">
        <v>1180</v>
      </c>
      <c r="F2620" s="631" t="s">
        <v>3533</v>
      </c>
      <c r="G2620" s="661">
        <v>282</v>
      </c>
      <c r="H2620" s="633">
        <v>2710</v>
      </c>
      <c r="I2620" s="618"/>
      <c r="J2620" s="619" t="s">
        <v>1180</v>
      </c>
      <c r="K2620" s="618"/>
      <c r="L2620" s="619">
        <v>95</v>
      </c>
      <c r="M2620" s="620">
        <v>90</v>
      </c>
      <c r="N2620" s="619"/>
      <c r="O2620" s="619">
        <v>19</v>
      </c>
      <c r="P2620" s="619" t="s">
        <v>760</v>
      </c>
      <c r="Q2620" s="662" t="s">
        <v>1002</v>
      </c>
      <c r="R2620" s="618"/>
      <c r="S2620" s="621" t="s">
        <v>3494</v>
      </c>
      <c r="T2620" s="619" t="s">
        <v>1087</v>
      </c>
    </row>
    <row r="2621" spans="1:20">
      <c r="A2621" s="630">
        <v>2902710</v>
      </c>
      <c r="B2621" s="623"/>
      <c r="C2621" s="623"/>
      <c r="D2621" s="623"/>
      <c r="E2621" s="627" t="s">
        <v>1182</v>
      </c>
      <c r="F2621" s="631" t="s">
        <v>3534</v>
      </c>
      <c r="G2621" s="661">
        <v>290</v>
      </c>
      <c r="H2621" s="633">
        <v>2710</v>
      </c>
      <c r="I2621" s="618"/>
      <c r="J2621" s="619" t="s">
        <v>1182</v>
      </c>
      <c r="K2621" s="618"/>
      <c r="L2621" s="619">
        <v>95</v>
      </c>
      <c r="M2621" s="620">
        <v>90</v>
      </c>
      <c r="N2621" s="619"/>
      <c r="O2621" s="619">
        <v>19</v>
      </c>
      <c r="P2621" s="619" t="s">
        <v>760</v>
      </c>
      <c r="Q2621" s="662" t="s">
        <v>1002</v>
      </c>
      <c r="R2621" s="618"/>
      <c r="S2621" s="621" t="s">
        <v>3494</v>
      </c>
      <c r="T2621" s="619" t="s">
        <v>1090</v>
      </c>
    </row>
    <row r="2622" spans="1:20">
      <c r="A2622" s="622"/>
      <c r="B2622" s="623"/>
      <c r="C2622" s="629">
        <v>83</v>
      </c>
      <c r="D2622" s="623"/>
      <c r="E2622" s="626" t="s">
        <v>3535</v>
      </c>
      <c r="F2622" s="626"/>
      <c r="G2622" s="623"/>
      <c r="H2622" s="627"/>
      <c r="I2622" s="618"/>
      <c r="J2622" s="618"/>
      <c r="K2622" s="618"/>
      <c r="L2622" s="618"/>
      <c r="M2622" s="618"/>
      <c r="N2622" s="618"/>
      <c r="O2622" s="618"/>
      <c r="P2622" s="618"/>
      <c r="Q2622" s="662"/>
      <c r="R2622" s="618"/>
      <c r="S2622" s="621"/>
      <c r="T2622" s="618"/>
    </row>
    <row r="2623" spans="1:20">
      <c r="A2623" s="622"/>
      <c r="B2623" s="623"/>
      <c r="C2623" s="623"/>
      <c r="D2623" s="623" t="s">
        <v>756</v>
      </c>
      <c r="E2623" s="627" t="s">
        <v>244</v>
      </c>
      <c r="F2623" s="626"/>
      <c r="G2623" s="623"/>
      <c r="H2623" s="627"/>
      <c r="I2623" s="618"/>
      <c r="J2623" s="618"/>
      <c r="K2623" s="618"/>
      <c r="L2623" s="618"/>
      <c r="M2623" s="618"/>
      <c r="N2623" s="618"/>
      <c r="O2623" s="618"/>
      <c r="P2623" s="618"/>
      <c r="Q2623" s="662"/>
      <c r="R2623" s="618"/>
      <c r="S2623" s="621"/>
      <c r="T2623" s="618"/>
    </row>
    <row r="2624" spans="1:20">
      <c r="A2624" s="630">
        <v>1152720</v>
      </c>
      <c r="B2624" s="623"/>
      <c r="C2624" s="623"/>
      <c r="D2624" s="623"/>
      <c r="E2624" s="627" t="s">
        <v>3536</v>
      </c>
      <c r="F2624" s="631" t="s">
        <v>3537</v>
      </c>
      <c r="G2624" s="661">
        <v>115</v>
      </c>
      <c r="H2624" s="633">
        <v>2720</v>
      </c>
      <c r="I2624" s="618"/>
      <c r="J2624" s="619" t="s">
        <v>3536</v>
      </c>
      <c r="K2624" s="618"/>
      <c r="L2624" s="619">
        <v>86</v>
      </c>
      <c r="M2624" s="620">
        <v>81</v>
      </c>
      <c r="N2624" s="619"/>
      <c r="O2624" s="619">
        <v>19</v>
      </c>
      <c r="P2624" s="619" t="s">
        <v>760</v>
      </c>
      <c r="Q2624" s="662" t="s">
        <v>1002</v>
      </c>
      <c r="R2624" s="618"/>
      <c r="S2624" s="621" t="s">
        <v>3535</v>
      </c>
      <c r="T2624" s="619" t="s">
        <v>3538</v>
      </c>
    </row>
    <row r="2625" spans="1:20">
      <c r="A2625" s="630">
        <v>1162720</v>
      </c>
      <c r="B2625" s="623"/>
      <c r="C2625" s="623"/>
      <c r="D2625" s="623"/>
      <c r="E2625" s="627" t="s">
        <v>3539</v>
      </c>
      <c r="F2625" s="631" t="s">
        <v>3540</v>
      </c>
      <c r="G2625" s="661">
        <v>116</v>
      </c>
      <c r="H2625" s="633">
        <v>2720</v>
      </c>
      <c r="I2625" s="618"/>
      <c r="J2625" s="619" t="s">
        <v>3539</v>
      </c>
      <c r="K2625" s="618"/>
      <c r="L2625" s="619">
        <v>85</v>
      </c>
      <c r="M2625" s="620">
        <v>80</v>
      </c>
      <c r="N2625" s="619"/>
      <c r="O2625" s="619">
        <v>19</v>
      </c>
      <c r="P2625" s="619" t="s">
        <v>760</v>
      </c>
      <c r="Q2625" s="662" t="s">
        <v>1002</v>
      </c>
      <c r="R2625" s="618"/>
      <c r="S2625" s="621" t="s">
        <v>3535</v>
      </c>
      <c r="T2625" s="619" t="s">
        <v>3541</v>
      </c>
    </row>
    <row r="2626" spans="1:20">
      <c r="A2626" s="630">
        <v>1172720</v>
      </c>
      <c r="B2626" s="623"/>
      <c r="C2626" s="623"/>
      <c r="D2626" s="623"/>
      <c r="E2626" s="627" t="s">
        <v>3542</v>
      </c>
      <c r="F2626" s="631" t="s">
        <v>3543</v>
      </c>
      <c r="G2626" s="661">
        <v>117</v>
      </c>
      <c r="H2626" s="633">
        <v>2720</v>
      </c>
      <c r="I2626" s="618"/>
      <c r="J2626" s="619" t="s">
        <v>3542</v>
      </c>
      <c r="K2626" s="618"/>
      <c r="L2626" s="619">
        <v>86</v>
      </c>
      <c r="M2626" s="620">
        <v>81</v>
      </c>
      <c r="N2626" s="619"/>
      <c r="O2626" s="619">
        <v>19</v>
      </c>
      <c r="P2626" s="619" t="s">
        <v>760</v>
      </c>
      <c r="Q2626" s="662" t="s">
        <v>1002</v>
      </c>
      <c r="R2626" s="618"/>
      <c r="S2626" s="621" t="s">
        <v>3535</v>
      </c>
      <c r="T2626" s="619" t="s">
        <v>3544</v>
      </c>
    </row>
    <row r="2627" spans="1:20">
      <c r="A2627" s="630">
        <v>1242720</v>
      </c>
      <c r="B2627" s="623"/>
      <c r="C2627" s="623"/>
      <c r="D2627" s="623"/>
      <c r="E2627" s="627" t="s">
        <v>3545</v>
      </c>
      <c r="F2627" s="631" t="s">
        <v>3546</v>
      </c>
      <c r="G2627" s="661">
        <v>124</v>
      </c>
      <c r="H2627" s="633">
        <v>2720</v>
      </c>
      <c r="I2627" s="618"/>
      <c r="J2627" s="619" t="s">
        <v>3545</v>
      </c>
      <c r="K2627" s="618"/>
      <c r="L2627" s="619">
        <v>86</v>
      </c>
      <c r="M2627" s="620">
        <v>81</v>
      </c>
      <c r="N2627" s="619"/>
      <c r="O2627" s="619">
        <v>19</v>
      </c>
      <c r="P2627" s="619" t="s">
        <v>760</v>
      </c>
      <c r="Q2627" s="662" t="s">
        <v>1002</v>
      </c>
      <c r="R2627" s="618"/>
      <c r="S2627" s="621" t="s">
        <v>3535</v>
      </c>
      <c r="T2627" s="619" t="s">
        <v>3547</v>
      </c>
    </row>
    <row r="2628" spans="1:20">
      <c r="A2628" s="630">
        <v>1002720</v>
      </c>
      <c r="B2628" s="623"/>
      <c r="C2628" s="623"/>
      <c r="D2628" s="623"/>
      <c r="E2628" s="627" t="s">
        <v>3548</v>
      </c>
      <c r="F2628" s="631" t="s">
        <v>3549</v>
      </c>
      <c r="G2628" s="661">
        <v>100</v>
      </c>
      <c r="H2628" s="633">
        <v>2720</v>
      </c>
      <c r="I2628" s="618"/>
      <c r="J2628" s="619" t="s">
        <v>3548</v>
      </c>
      <c r="K2628" s="618"/>
      <c r="L2628" s="619">
        <v>86</v>
      </c>
      <c r="M2628" s="620">
        <v>81</v>
      </c>
      <c r="N2628" s="619"/>
      <c r="O2628" s="619">
        <v>19</v>
      </c>
      <c r="P2628" s="619" t="s">
        <v>760</v>
      </c>
      <c r="Q2628" s="662" t="s">
        <v>1002</v>
      </c>
      <c r="R2628" s="618"/>
      <c r="S2628" s="621" t="s">
        <v>3535</v>
      </c>
      <c r="T2628" s="619" t="s">
        <v>3550</v>
      </c>
    </row>
    <row r="2629" spans="1:20">
      <c r="A2629" s="630">
        <v>3002720</v>
      </c>
      <c r="B2629" s="623"/>
      <c r="C2629" s="623"/>
      <c r="D2629" s="623" t="s">
        <v>775</v>
      </c>
      <c r="E2629" s="627" t="s">
        <v>1112</v>
      </c>
      <c r="F2629" s="631" t="s">
        <v>3551</v>
      </c>
      <c r="G2629" s="661">
        <v>300</v>
      </c>
      <c r="H2629" s="633">
        <v>2720</v>
      </c>
      <c r="I2629" s="618"/>
      <c r="J2629" s="619" t="s">
        <v>1112</v>
      </c>
      <c r="K2629" s="618"/>
      <c r="L2629" s="619">
        <v>101</v>
      </c>
      <c r="M2629" s="620">
        <v>96</v>
      </c>
      <c r="N2629" s="619"/>
      <c r="O2629" s="619">
        <v>19</v>
      </c>
      <c r="P2629" s="619" t="s">
        <v>760</v>
      </c>
      <c r="Q2629" s="662"/>
      <c r="R2629" s="618"/>
      <c r="S2629" s="621" t="s">
        <v>3535</v>
      </c>
      <c r="T2629" s="619" t="s">
        <v>1112</v>
      </c>
    </row>
    <row r="2630" spans="1:20">
      <c r="A2630" s="622"/>
      <c r="B2630" s="623"/>
      <c r="C2630" s="623"/>
      <c r="D2630" s="623" t="s">
        <v>799</v>
      </c>
      <c r="E2630" s="627" t="s">
        <v>250</v>
      </c>
      <c r="F2630" s="626"/>
      <c r="G2630" s="623"/>
      <c r="H2630" s="627"/>
      <c r="I2630" s="618"/>
      <c r="J2630" s="618"/>
      <c r="K2630" s="618"/>
      <c r="L2630" s="618"/>
      <c r="M2630" s="618"/>
      <c r="N2630" s="618"/>
      <c r="O2630" s="618"/>
      <c r="P2630" s="618"/>
      <c r="Q2630" s="662"/>
      <c r="R2630" s="618"/>
      <c r="S2630" s="621"/>
      <c r="T2630" s="618"/>
    </row>
    <row r="2631" spans="1:20">
      <c r="A2631" s="630">
        <v>4302720</v>
      </c>
      <c r="B2631" s="623"/>
      <c r="C2631" s="623"/>
      <c r="D2631" s="623"/>
      <c r="E2631" s="627" t="s">
        <v>1114</v>
      </c>
      <c r="F2631" s="631" t="s">
        <v>3552</v>
      </c>
      <c r="G2631" s="661">
        <v>430</v>
      </c>
      <c r="H2631" s="633">
        <v>2720</v>
      </c>
      <c r="I2631" s="618"/>
      <c r="J2631" s="619" t="s">
        <v>1114</v>
      </c>
      <c r="K2631" s="618"/>
      <c r="L2631" s="619">
        <v>107</v>
      </c>
      <c r="M2631" s="620">
        <v>102</v>
      </c>
      <c r="N2631" s="619"/>
      <c r="O2631" s="619">
        <v>19</v>
      </c>
      <c r="P2631" s="619" t="s">
        <v>760</v>
      </c>
      <c r="Q2631" s="662"/>
      <c r="R2631" s="618"/>
      <c r="S2631" s="621" t="s">
        <v>3535</v>
      </c>
      <c r="T2631" s="619" t="s">
        <v>1021</v>
      </c>
    </row>
    <row r="2632" spans="1:20">
      <c r="A2632" s="630">
        <v>4422720</v>
      </c>
      <c r="B2632" s="623"/>
      <c r="C2632" s="623"/>
      <c r="D2632" s="623"/>
      <c r="E2632" s="627" t="s">
        <v>1381</v>
      </c>
      <c r="F2632" s="631" t="s">
        <v>3553</v>
      </c>
      <c r="G2632" s="661">
        <v>442</v>
      </c>
      <c r="H2632" s="633">
        <v>2720</v>
      </c>
      <c r="I2632" s="618"/>
      <c r="J2632" s="619" t="s">
        <v>1381</v>
      </c>
      <c r="K2632" s="618"/>
      <c r="L2632" s="619">
        <v>106</v>
      </c>
      <c r="M2632" s="620">
        <v>101</v>
      </c>
      <c r="N2632" s="619"/>
      <c r="O2632" s="619">
        <v>19</v>
      </c>
      <c r="P2632" s="619" t="s">
        <v>760</v>
      </c>
      <c r="Q2632" s="662"/>
      <c r="R2632" s="618"/>
      <c r="S2632" s="621" t="s">
        <v>3535</v>
      </c>
      <c r="T2632" s="619" t="s">
        <v>1383</v>
      </c>
    </row>
    <row r="2633" spans="1:20">
      <c r="A2633" s="630">
        <v>4002720</v>
      </c>
      <c r="B2633" s="623"/>
      <c r="C2633" s="623"/>
      <c r="D2633" s="623"/>
      <c r="E2633" s="627" t="s">
        <v>1118</v>
      </c>
      <c r="F2633" s="631" t="s">
        <v>3554</v>
      </c>
      <c r="G2633" s="661">
        <v>400</v>
      </c>
      <c r="H2633" s="633">
        <v>2720</v>
      </c>
      <c r="I2633" s="618"/>
      <c r="J2633" s="619" t="s">
        <v>1118</v>
      </c>
      <c r="K2633" s="618"/>
      <c r="L2633" s="619">
        <v>108</v>
      </c>
      <c r="M2633" s="620">
        <v>103</v>
      </c>
      <c r="N2633" s="619"/>
      <c r="O2633" s="619">
        <v>19</v>
      </c>
      <c r="P2633" s="619" t="s">
        <v>760</v>
      </c>
      <c r="Q2633" s="662"/>
      <c r="R2633" s="618"/>
      <c r="S2633" s="621" t="s">
        <v>3535</v>
      </c>
      <c r="T2633" s="619" t="s">
        <v>1025</v>
      </c>
    </row>
    <row r="2634" spans="1:20">
      <c r="A2634" s="622"/>
      <c r="B2634" s="623"/>
      <c r="C2634" s="623"/>
      <c r="D2634" s="623" t="s">
        <v>803</v>
      </c>
      <c r="E2634" s="627" t="s">
        <v>252</v>
      </c>
      <c r="F2634" s="626"/>
      <c r="G2634" s="623"/>
      <c r="H2634" s="627"/>
      <c r="I2634" s="618"/>
      <c r="J2634" s="618"/>
      <c r="K2634" s="618"/>
      <c r="L2634" s="618"/>
      <c r="M2634" s="618"/>
      <c r="N2634" s="618"/>
      <c r="O2634" s="618"/>
      <c r="P2634" s="618"/>
      <c r="Q2634" s="662"/>
      <c r="R2634" s="618"/>
      <c r="S2634" s="621"/>
      <c r="T2634" s="618"/>
    </row>
    <row r="2635" spans="1:20">
      <c r="A2635" s="630">
        <v>5132720</v>
      </c>
      <c r="B2635" s="623"/>
      <c r="C2635" s="623"/>
      <c r="D2635" s="623"/>
      <c r="E2635" s="627" t="s">
        <v>3555</v>
      </c>
      <c r="F2635" s="631" t="s">
        <v>3556</v>
      </c>
      <c r="G2635" s="661">
        <v>513</v>
      </c>
      <c r="H2635" s="633">
        <v>2720</v>
      </c>
      <c r="I2635" s="618"/>
      <c r="J2635" s="619" t="s">
        <v>3555</v>
      </c>
      <c r="K2635" s="618"/>
      <c r="L2635" s="619">
        <v>111</v>
      </c>
      <c r="M2635" s="620">
        <v>106</v>
      </c>
      <c r="N2635" s="619"/>
      <c r="O2635" s="619">
        <v>19</v>
      </c>
      <c r="P2635" s="619" t="s">
        <v>760</v>
      </c>
      <c r="Q2635" s="662"/>
      <c r="R2635" s="618"/>
      <c r="S2635" s="621" t="s">
        <v>3535</v>
      </c>
      <c r="T2635" s="619" t="s">
        <v>3557</v>
      </c>
    </row>
    <row r="2636" spans="1:20">
      <c r="A2636" s="630">
        <v>5232720</v>
      </c>
      <c r="B2636" s="623"/>
      <c r="C2636" s="623"/>
      <c r="D2636" s="623"/>
      <c r="E2636" s="627" t="s">
        <v>3558</v>
      </c>
      <c r="F2636" s="631" t="s">
        <v>3559</v>
      </c>
      <c r="G2636" s="661">
        <v>523</v>
      </c>
      <c r="H2636" s="633">
        <v>2720</v>
      </c>
      <c r="I2636" s="618"/>
      <c r="J2636" s="619" t="s">
        <v>3558</v>
      </c>
      <c r="K2636" s="618"/>
      <c r="L2636" s="619">
        <v>114</v>
      </c>
      <c r="M2636" s="620">
        <v>107</v>
      </c>
      <c r="N2636" s="619"/>
      <c r="O2636" s="619">
        <v>19</v>
      </c>
      <c r="P2636" s="619" t="s">
        <v>760</v>
      </c>
      <c r="Q2636" s="662"/>
      <c r="R2636" s="618"/>
      <c r="S2636" s="621" t="s">
        <v>3535</v>
      </c>
      <c r="T2636" s="619" t="s">
        <v>1387</v>
      </c>
    </row>
    <row r="2637" spans="1:20">
      <c r="A2637" s="630">
        <v>5832720</v>
      </c>
      <c r="B2637" s="623"/>
      <c r="C2637" s="623"/>
      <c r="D2637" s="623"/>
      <c r="E2637" s="627" t="s">
        <v>3560</v>
      </c>
      <c r="F2637" s="631" t="s">
        <v>3561</v>
      </c>
      <c r="G2637" s="661">
        <v>583</v>
      </c>
      <c r="H2637" s="633">
        <v>2720</v>
      </c>
      <c r="I2637" s="618"/>
      <c r="J2637" s="619" t="s">
        <v>3560</v>
      </c>
      <c r="K2637" s="618"/>
      <c r="L2637" s="619">
        <v>118</v>
      </c>
      <c r="M2637" s="620">
        <v>109</v>
      </c>
      <c r="N2637" s="619"/>
      <c r="O2637" s="619">
        <v>19</v>
      </c>
      <c r="P2637" s="619" t="s">
        <v>760</v>
      </c>
      <c r="Q2637" s="662"/>
      <c r="R2637" s="618"/>
      <c r="S2637" s="621" t="s">
        <v>3535</v>
      </c>
      <c r="T2637" s="619" t="s">
        <v>3562</v>
      </c>
    </row>
    <row r="2638" spans="1:20">
      <c r="A2638" s="630">
        <v>5002720</v>
      </c>
      <c r="B2638" s="623"/>
      <c r="C2638" s="623"/>
      <c r="D2638" s="623"/>
      <c r="E2638" s="627" t="s">
        <v>1394</v>
      </c>
      <c r="F2638" s="631" t="s">
        <v>3563</v>
      </c>
      <c r="G2638" s="661">
        <v>500</v>
      </c>
      <c r="H2638" s="633">
        <v>2720</v>
      </c>
      <c r="I2638" s="618"/>
      <c r="J2638" s="619" t="s">
        <v>1394</v>
      </c>
      <c r="K2638" s="618"/>
      <c r="L2638" s="619">
        <v>111</v>
      </c>
      <c r="M2638" s="620">
        <v>106</v>
      </c>
      <c r="N2638" s="619"/>
      <c r="O2638" s="619">
        <v>19</v>
      </c>
      <c r="P2638" s="619" t="s">
        <v>760</v>
      </c>
      <c r="Q2638" s="662"/>
      <c r="R2638" s="618"/>
      <c r="S2638" s="621" t="s">
        <v>3535</v>
      </c>
      <c r="T2638" s="619" t="s">
        <v>252</v>
      </c>
    </row>
    <row r="2639" spans="1:20">
      <c r="A2639" s="622"/>
      <c r="B2639" s="623"/>
      <c r="C2639" s="623"/>
      <c r="D2639" s="623" t="s">
        <v>848</v>
      </c>
      <c r="E2639" s="627" t="s">
        <v>254</v>
      </c>
      <c r="F2639" s="626"/>
      <c r="G2639" s="623"/>
      <c r="H2639" s="627"/>
      <c r="I2639" s="618"/>
      <c r="J2639" s="618"/>
      <c r="K2639" s="618"/>
      <c r="L2639" s="618"/>
      <c r="M2639" s="618"/>
      <c r="N2639" s="618"/>
      <c r="O2639" s="618"/>
      <c r="P2639" s="618"/>
      <c r="Q2639" s="662"/>
      <c r="R2639" s="618"/>
      <c r="S2639" s="621"/>
      <c r="T2639" s="618"/>
    </row>
    <row r="2640" spans="1:20">
      <c r="A2640" s="630">
        <v>6152720</v>
      </c>
      <c r="B2640" s="623"/>
      <c r="C2640" s="623"/>
      <c r="D2640" s="623"/>
      <c r="E2640" s="627" t="s">
        <v>1138</v>
      </c>
      <c r="F2640" s="631" t="s">
        <v>3564</v>
      </c>
      <c r="G2640" s="661">
        <v>615</v>
      </c>
      <c r="H2640" s="633">
        <v>2720</v>
      </c>
      <c r="I2640" s="618"/>
      <c r="J2640" s="619" t="s">
        <v>1138</v>
      </c>
      <c r="K2640" s="618"/>
      <c r="L2640" s="619">
        <v>126</v>
      </c>
      <c r="M2640" s="620">
        <v>117</v>
      </c>
      <c r="N2640" s="619"/>
      <c r="O2640" s="619">
        <v>19</v>
      </c>
      <c r="P2640" s="619" t="s">
        <v>760</v>
      </c>
      <c r="Q2640" s="662" t="s">
        <v>1043</v>
      </c>
      <c r="R2640" s="618"/>
      <c r="S2640" s="621" t="s">
        <v>3535</v>
      </c>
      <c r="T2640" s="619" t="s">
        <v>1041</v>
      </c>
    </row>
    <row r="2641" spans="1:20">
      <c r="A2641" s="630">
        <v>6102720</v>
      </c>
      <c r="B2641" s="623"/>
      <c r="C2641" s="623"/>
      <c r="D2641" s="623"/>
      <c r="E2641" s="627" t="s">
        <v>1140</v>
      </c>
      <c r="F2641" s="631" t="s">
        <v>3565</v>
      </c>
      <c r="G2641" s="661">
        <v>610</v>
      </c>
      <c r="H2641" s="633">
        <v>2720</v>
      </c>
      <c r="I2641" s="618"/>
      <c r="J2641" s="619" t="s">
        <v>1140</v>
      </c>
      <c r="K2641" s="618"/>
      <c r="L2641" s="619">
        <v>122</v>
      </c>
      <c r="M2641" s="620">
        <v>113</v>
      </c>
      <c r="N2641" s="619"/>
      <c r="O2641" s="619">
        <v>19</v>
      </c>
      <c r="P2641" s="619" t="s">
        <v>760</v>
      </c>
      <c r="Q2641" s="662" t="s">
        <v>1043</v>
      </c>
      <c r="R2641" s="618"/>
      <c r="S2641" s="621" t="s">
        <v>3535</v>
      </c>
      <c r="T2641" s="619" t="s">
        <v>39</v>
      </c>
    </row>
    <row r="2642" spans="1:20">
      <c r="A2642" s="630">
        <v>6262720</v>
      </c>
      <c r="B2642" s="623"/>
      <c r="C2642" s="623"/>
      <c r="D2642" s="623"/>
      <c r="E2642" s="627" t="s">
        <v>1398</v>
      </c>
      <c r="F2642" s="631" t="s">
        <v>3566</v>
      </c>
      <c r="G2642" s="661">
        <v>626</v>
      </c>
      <c r="H2642" s="633">
        <v>2720</v>
      </c>
      <c r="I2642" s="618"/>
      <c r="J2642" s="619" t="s">
        <v>1398</v>
      </c>
      <c r="K2642" s="618"/>
      <c r="L2642" s="619">
        <v>123</v>
      </c>
      <c r="M2642" s="620">
        <v>114</v>
      </c>
      <c r="N2642" s="619"/>
      <c r="O2642" s="619">
        <v>19</v>
      </c>
      <c r="P2642" s="619" t="s">
        <v>760</v>
      </c>
      <c r="Q2642" s="662" t="s">
        <v>1043</v>
      </c>
      <c r="R2642" s="618"/>
      <c r="S2642" s="621" t="s">
        <v>3535</v>
      </c>
      <c r="T2642" s="619" t="s">
        <v>1400</v>
      </c>
    </row>
    <row r="2643" spans="1:20">
      <c r="A2643" s="630">
        <v>6002720</v>
      </c>
      <c r="B2643" s="623"/>
      <c r="C2643" s="623"/>
      <c r="D2643" s="623"/>
      <c r="E2643" s="627" t="s">
        <v>1144</v>
      </c>
      <c r="F2643" s="631" t="s">
        <v>3567</v>
      </c>
      <c r="G2643" s="661">
        <v>600</v>
      </c>
      <c r="H2643" s="633">
        <v>2720</v>
      </c>
      <c r="I2643" s="618"/>
      <c r="J2643" s="619" t="s">
        <v>1144</v>
      </c>
      <c r="K2643" s="618"/>
      <c r="L2643" s="619">
        <v>126</v>
      </c>
      <c r="M2643" s="620">
        <v>117</v>
      </c>
      <c r="N2643" s="619"/>
      <c r="O2643" s="619">
        <v>19</v>
      </c>
      <c r="P2643" s="619" t="s">
        <v>760</v>
      </c>
      <c r="Q2643" s="662"/>
      <c r="R2643" s="618"/>
      <c r="S2643" s="621" t="s">
        <v>3535</v>
      </c>
      <c r="T2643" s="619" t="s">
        <v>1048</v>
      </c>
    </row>
    <row r="2644" spans="1:20">
      <c r="A2644" s="622"/>
      <c r="B2644" s="623"/>
      <c r="C2644" s="623"/>
      <c r="D2644" s="623" t="s">
        <v>851</v>
      </c>
      <c r="E2644" s="627" t="s">
        <v>1050</v>
      </c>
      <c r="F2644" s="626"/>
      <c r="G2644" s="623"/>
      <c r="H2644" s="627"/>
      <c r="I2644" s="618"/>
      <c r="J2644" s="618"/>
      <c r="K2644" s="618"/>
      <c r="L2644" s="618"/>
      <c r="M2644" s="618"/>
      <c r="N2644" s="618"/>
      <c r="O2644" s="618"/>
      <c r="P2644" s="618"/>
      <c r="Q2644" s="662"/>
      <c r="R2644" s="618"/>
      <c r="S2644" s="621"/>
      <c r="T2644" s="618"/>
    </row>
    <row r="2645" spans="1:20">
      <c r="A2645" s="630">
        <v>7342720</v>
      </c>
      <c r="B2645" s="623"/>
      <c r="C2645" s="623"/>
      <c r="D2645" s="623"/>
      <c r="E2645" s="627" t="s">
        <v>1146</v>
      </c>
      <c r="F2645" s="631" t="s">
        <v>3568</v>
      </c>
      <c r="G2645" s="661">
        <v>734</v>
      </c>
      <c r="H2645" s="633">
        <v>2720</v>
      </c>
      <c r="I2645" s="618"/>
      <c r="J2645" s="619" t="s">
        <v>1146</v>
      </c>
      <c r="K2645" s="618"/>
      <c r="L2645" s="619">
        <v>131</v>
      </c>
      <c r="M2645" s="620">
        <v>122</v>
      </c>
      <c r="N2645" s="619"/>
      <c r="O2645" s="619">
        <v>19</v>
      </c>
      <c r="P2645" s="619" t="s">
        <v>760</v>
      </c>
      <c r="Q2645" s="662"/>
      <c r="R2645" s="618"/>
      <c r="S2645" s="621" t="s">
        <v>3535</v>
      </c>
      <c r="T2645" s="619" t="s">
        <v>1051</v>
      </c>
    </row>
    <row r="2646" spans="1:20">
      <c r="A2646" s="630">
        <v>7352720</v>
      </c>
      <c r="B2646" s="623"/>
      <c r="C2646" s="623"/>
      <c r="D2646" s="623"/>
      <c r="E2646" s="627" t="s">
        <v>1148</v>
      </c>
      <c r="F2646" s="631" t="s">
        <v>3569</v>
      </c>
      <c r="G2646" s="661">
        <v>735</v>
      </c>
      <c r="H2646" s="633">
        <v>2720</v>
      </c>
      <c r="I2646" s="618"/>
      <c r="J2646" s="619" t="s">
        <v>1148</v>
      </c>
      <c r="K2646" s="618"/>
      <c r="L2646" s="619">
        <v>131</v>
      </c>
      <c r="M2646" s="620">
        <v>122</v>
      </c>
      <c r="N2646" s="619"/>
      <c r="O2646" s="619">
        <v>19</v>
      </c>
      <c r="P2646" s="619" t="s">
        <v>760</v>
      </c>
      <c r="Q2646" s="662"/>
      <c r="R2646" s="618"/>
      <c r="S2646" s="621" t="s">
        <v>3535</v>
      </c>
      <c r="T2646" s="619" t="s">
        <v>1053</v>
      </c>
    </row>
    <row r="2647" spans="1:20">
      <c r="A2647" s="630">
        <v>7302720</v>
      </c>
      <c r="B2647" s="623"/>
      <c r="C2647" s="623"/>
      <c r="D2647" s="623"/>
      <c r="E2647" s="627" t="s">
        <v>3517</v>
      </c>
      <c r="F2647" s="631" t="s">
        <v>3570</v>
      </c>
      <c r="G2647" s="661">
        <v>730</v>
      </c>
      <c r="H2647" s="633">
        <v>2720</v>
      </c>
      <c r="I2647" s="618"/>
      <c r="J2647" s="619" t="s">
        <v>3517</v>
      </c>
      <c r="K2647" s="618"/>
      <c r="L2647" s="619">
        <v>131</v>
      </c>
      <c r="M2647" s="620">
        <v>122</v>
      </c>
      <c r="N2647" s="619"/>
      <c r="O2647" s="619">
        <v>19</v>
      </c>
      <c r="P2647" s="619" t="s">
        <v>760</v>
      </c>
      <c r="Q2647" s="662"/>
      <c r="R2647" s="618"/>
      <c r="S2647" s="621" t="s">
        <v>3535</v>
      </c>
      <c r="T2647" s="619" t="s">
        <v>1055</v>
      </c>
    </row>
    <row r="2648" spans="1:20">
      <c r="A2648" s="630">
        <v>7002720</v>
      </c>
      <c r="B2648" s="623"/>
      <c r="C2648" s="623"/>
      <c r="D2648" s="623"/>
      <c r="E2648" s="627" t="s">
        <v>1152</v>
      </c>
      <c r="F2648" s="631" t="s">
        <v>3571</v>
      </c>
      <c r="G2648" s="661">
        <v>700</v>
      </c>
      <c r="H2648" s="633">
        <v>2720</v>
      </c>
      <c r="I2648" s="618"/>
      <c r="J2648" s="619" t="s">
        <v>1152</v>
      </c>
      <c r="K2648" s="618"/>
      <c r="L2648" s="619">
        <v>132</v>
      </c>
      <c r="M2648" s="620">
        <v>123</v>
      </c>
      <c r="N2648" s="619"/>
      <c r="O2648" s="619">
        <v>19</v>
      </c>
      <c r="P2648" s="619" t="s">
        <v>760</v>
      </c>
      <c r="Q2648" s="662"/>
      <c r="R2648" s="618"/>
      <c r="S2648" s="621" t="s">
        <v>3535</v>
      </c>
      <c r="T2648" s="619" t="s">
        <v>1057</v>
      </c>
    </row>
    <row r="2649" spans="1:20">
      <c r="A2649" s="622"/>
      <c r="B2649" s="623"/>
      <c r="C2649" s="623"/>
      <c r="D2649" s="623" t="s">
        <v>854</v>
      </c>
      <c r="E2649" s="627" t="s">
        <v>256</v>
      </c>
      <c r="F2649" s="626"/>
      <c r="G2649" s="623"/>
      <c r="H2649" s="627"/>
      <c r="I2649" s="618"/>
      <c r="J2649" s="618"/>
      <c r="K2649" s="618"/>
      <c r="L2649" s="618"/>
      <c r="M2649" s="618"/>
      <c r="N2649" s="618"/>
      <c r="O2649" s="618"/>
      <c r="P2649" s="618"/>
      <c r="Q2649" s="662"/>
      <c r="R2649" s="618"/>
      <c r="S2649" s="621"/>
      <c r="T2649" s="618"/>
    </row>
    <row r="2650" spans="1:20">
      <c r="A2650" s="630">
        <v>8952720</v>
      </c>
      <c r="B2650" s="623"/>
      <c r="C2650" s="623"/>
      <c r="D2650" s="623"/>
      <c r="E2650" s="627" t="s">
        <v>1154</v>
      </c>
      <c r="F2650" s="631" t="s">
        <v>3572</v>
      </c>
      <c r="G2650" s="661">
        <v>895</v>
      </c>
      <c r="H2650" s="633">
        <v>2720</v>
      </c>
      <c r="I2650" s="618"/>
      <c r="J2650" s="619" t="s">
        <v>1154</v>
      </c>
      <c r="K2650" s="618"/>
      <c r="L2650" s="619">
        <v>139</v>
      </c>
      <c r="M2650" s="620">
        <v>129</v>
      </c>
      <c r="N2650" s="619"/>
      <c r="O2650" s="619">
        <v>19</v>
      </c>
      <c r="P2650" s="619" t="s">
        <v>760</v>
      </c>
      <c r="Q2650" s="662"/>
      <c r="R2650" s="618"/>
      <c r="S2650" s="621" t="s">
        <v>3535</v>
      </c>
      <c r="T2650" s="619" t="s">
        <v>1059</v>
      </c>
    </row>
    <row r="2651" spans="1:20">
      <c r="A2651" s="630">
        <v>8002720</v>
      </c>
      <c r="B2651" s="623"/>
      <c r="C2651" s="623"/>
      <c r="D2651" s="623"/>
      <c r="E2651" s="627" t="s">
        <v>1156</v>
      </c>
      <c r="F2651" s="631" t="s">
        <v>3573</v>
      </c>
      <c r="G2651" s="661">
        <v>800</v>
      </c>
      <c r="H2651" s="633">
        <v>2720</v>
      </c>
      <c r="I2651" s="618"/>
      <c r="J2651" s="619" t="s">
        <v>1156</v>
      </c>
      <c r="K2651" s="618"/>
      <c r="L2651" s="619">
        <v>139</v>
      </c>
      <c r="M2651" s="620">
        <v>129</v>
      </c>
      <c r="N2651" s="619"/>
      <c r="O2651" s="619">
        <v>19</v>
      </c>
      <c r="P2651" s="619" t="s">
        <v>760</v>
      </c>
      <c r="Q2651" s="662"/>
      <c r="R2651" s="618"/>
      <c r="S2651" s="621" t="s">
        <v>3535</v>
      </c>
      <c r="T2651" s="619" t="s">
        <v>1061</v>
      </c>
    </row>
    <row r="2652" spans="1:20">
      <c r="A2652" s="622"/>
      <c r="B2652" s="623"/>
      <c r="C2652" s="623"/>
      <c r="D2652" s="623" t="s">
        <v>857</v>
      </c>
      <c r="E2652" s="627" t="s">
        <v>3574</v>
      </c>
      <c r="F2652" s="626"/>
      <c r="G2652" s="623"/>
      <c r="H2652" s="627"/>
      <c r="I2652" s="618"/>
      <c r="J2652" s="618"/>
      <c r="K2652" s="618"/>
      <c r="L2652" s="618"/>
      <c r="M2652" s="618"/>
      <c r="N2652" s="618"/>
      <c r="O2652" s="618"/>
      <c r="P2652" s="618"/>
      <c r="Q2652" s="662"/>
      <c r="R2652" s="618"/>
      <c r="S2652" s="621"/>
      <c r="T2652" s="618"/>
    </row>
    <row r="2653" spans="1:20">
      <c r="A2653" s="630">
        <v>2102720</v>
      </c>
      <c r="B2653" s="623"/>
      <c r="C2653" s="623"/>
      <c r="D2653" s="623"/>
      <c r="E2653" s="627" t="s">
        <v>1158</v>
      </c>
      <c r="F2653" s="631" t="s">
        <v>3575</v>
      </c>
      <c r="G2653" s="661">
        <v>210</v>
      </c>
      <c r="H2653" s="633">
        <v>2720</v>
      </c>
      <c r="I2653" s="618"/>
      <c r="J2653" s="619" t="s">
        <v>1158</v>
      </c>
      <c r="K2653" s="618"/>
      <c r="L2653" s="619">
        <v>89</v>
      </c>
      <c r="M2653" s="620">
        <v>84</v>
      </c>
      <c r="N2653" s="619"/>
      <c r="O2653" s="619">
        <v>19</v>
      </c>
      <c r="P2653" s="619" t="s">
        <v>760</v>
      </c>
      <c r="Q2653" s="662" t="s">
        <v>1002</v>
      </c>
      <c r="R2653" s="618"/>
      <c r="S2653" s="621" t="s">
        <v>3535</v>
      </c>
      <c r="T2653" s="619" t="s">
        <v>1064</v>
      </c>
    </row>
    <row r="2654" spans="1:20">
      <c r="A2654" s="630">
        <v>2202720</v>
      </c>
      <c r="B2654" s="623"/>
      <c r="C2654" s="623"/>
      <c r="D2654" s="623"/>
      <c r="E2654" s="627" t="s">
        <v>1160</v>
      </c>
      <c r="F2654" s="631" t="s">
        <v>3576</v>
      </c>
      <c r="G2654" s="661">
        <v>220</v>
      </c>
      <c r="H2654" s="633">
        <v>2720</v>
      </c>
      <c r="I2654" s="618"/>
      <c r="J2654" s="619" t="s">
        <v>1160</v>
      </c>
      <c r="K2654" s="618"/>
      <c r="L2654" s="619">
        <v>90</v>
      </c>
      <c r="M2654" s="620">
        <v>85</v>
      </c>
      <c r="N2654" s="619"/>
      <c r="O2654" s="619">
        <v>19</v>
      </c>
      <c r="P2654" s="619" t="s">
        <v>760</v>
      </c>
      <c r="Q2654" s="662" t="s">
        <v>1002</v>
      </c>
      <c r="R2654" s="618"/>
      <c r="S2654" s="621" t="s">
        <v>3535</v>
      </c>
      <c r="T2654" s="619" t="s">
        <v>1066</v>
      </c>
    </row>
    <row r="2655" spans="1:20">
      <c r="A2655" s="630">
        <v>2252720</v>
      </c>
      <c r="B2655" s="623"/>
      <c r="C2655" s="623"/>
      <c r="D2655" s="623"/>
      <c r="E2655" s="627" t="s">
        <v>1162</v>
      </c>
      <c r="F2655" s="631" t="s">
        <v>3577</v>
      </c>
      <c r="G2655" s="661">
        <v>225</v>
      </c>
      <c r="H2655" s="633">
        <v>2720</v>
      </c>
      <c r="I2655" s="618"/>
      <c r="J2655" s="619" t="s">
        <v>1162</v>
      </c>
      <c r="K2655" s="618"/>
      <c r="L2655" s="619">
        <v>91</v>
      </c>
      <c r="M2655" s="620">
        <v>86</v>
      </c>
      <c r="N2655" s="619"/>
      <c r="O2655" s="619">
        <v>19</v>
      </c>
      <c r="P2655" s="619" t="s">
        <v>760</v>
      </c>
      <c r="Q2655" s="662" t="s">
        <v>1002</v>
      </c>
      <c r="R2655" s="618"/>
      <c r="S2655" s="621" t="s">
        <v>3535</v>
      </c>
      <c r="T2655" s="619" t="s">
        <v>23</v>
      </c>
    </row>
    <row r="2656" spans="1:20">
      <c r="A2656" s="622"/>
      <c r="B2656" s="623"/>
      <c r="C2656" s="623"/>
      <c r="D2656" s="623"/>
      <c r="E2656" s="627" t="s">
        <v>1164</v>
      </c>
      <c r="F2656" s="626"/>
      <c r="G2656" s="623"/>
      <c r="H2656" s="627"/>
      <c r="I2656" s="618"/>
      <c r="J2656" s="618"/>
      <c r="K2656" s="618"/>
      <c r="L2656" s="618"/>
      <c r="M2656" s="618"/>
      <c r="N2656" s="618"/>
      <c r="O2656" s="618"/>
      <c r="P2656" s="618"/>
      <c r="Q2656" s="662"/>
      <c r="R2656" s="618"/>
      <c r="S2656" s="621"/>
      <c r="T2656" s="618"/>
    </row>
    <row r="2657" spans="1:20">
      <c r="A2657" s="630">
        <v>2312720</v>
      </c>
      <c r="B2657" s="623"/>
      <c r="C2657" s="623"/>
      <c r="D2657" s="623"/>
      <c r="E2657" s="627" t="s">
        <v>1165</v>
      </c>
      <c r="F2657" s="631" t="s">
        <v>3578</v>
      </c>
      <c r="G2657" s="661">
        <v>231</v>
      </c>
      <c r="H2657" s="633">
        <v>2720</v>
      </c>
      <c r="I2657" s="618"/>
      <c r="J2657" s="619" t="s">
        <v>1165</v>
      </c>
      <c r="K2657" s="618"/>
      <c r="L2657" s="619">
        <v>92</v>
      </c>
      <c r="M2657" s="620">
        <v>87</v>
      </c>
      <c r="N2657" s="619"/>
      <c r="O2657" s="619">
        <v>19</v>
      </c>
      <c r="P2657" s="619" t="s">
        <v>760</v>
      </c>
      <c r="Q2657" s="662" t="s">
        <v>1002</v>
      </c>
      <c r="R2657" s="618"/>
      <c r="S2657" s="621" t="s">
        <v>3535</v>
      </c>
      <c r="T2657" s="619" t="s">
        <v>1072</v>
      </c>
    </row>
    <row r="2658" spans="1:20">
      <c r="A2658" s="630">
        <v>2332720</v>
      </c>
      <c r="B2658" s="623"/>
      <c r="C2658" s="623"/>
      <c r="D2658" s="623"/>
      <c r="E2658" s="627" t="s">
        <v>1167</v>
      </c>
      <c r="F2658" s="631" t="s">
        <v>3579</v>
      </c>
      <c r="G2658" s="661">
        <v>233</v>
      </c>
      <c r="H2658" s="633">
        <v>2720</v>
      </c>
      <c r="I2658" s="618"/>
      <c r="J2658" s="619" t="s">
        <v>1167</v>
      </c>
      <c r="K2658" s="618"/>
      <c r="L2658" s="619">
        <v>92</v>
      </c>
      <c r="M2658" s="620">
        <v>87</v>
      </c>
      <c r="N2658" s="619"/>
      <c r="O2658" s="619">
        <v>19</v>
      </c>
      <c r="P2658" s="619" t="s">
        <v>760</v>
      </c>
      <c r="Q2658" s="662" t="s">
        <v>1002</v>
      </c>
      <c r="R2658" s="618"/>
      <c r="S2658" s="621" t="s">
        <v>3535</v>
      </c>
      <c r="T2658" s="619" t="s">
        <v>1169</v>
      </c>
    </row>
    <row r="2659" spans="1:20">
      <c r="A2659" s="630">
        <v>2392720</v>
      </c>
      <c r="B2659" s="623"/>
      <c r="C2659" s="623"/>
      <c r="D2659" s="623"/>
      <c r="E2659" s="627" t="s">
        <v>1170</v>
      </c>
      <c r="F2659" s="631" t="s">
        <v>3580</v>
      </c>
      <c r="G2659" s="661">
        <v>239</v>
      </c>
      <c r="H2659" s="633">
        <v>2720</v>
      </c>
      <c r="I2659" s="618"/>
      <c r="J2659" s="619" t="s">
        <v>1170</v>
      </c>
      <c r="K2659" s="618"/>
      <c r="L2659" s="619">
        <v>92</v>
      </c>
      <c r="M2659" s="620">
        <v>87</v>
      </c>
      <c r="N2659" s="619"/>
      <c r="O2659" s="619">
        <v>19</v>
      </c>
      <c r="P2659" s="619" t="s">
        <v>760</v>
      </c>
      <c r="Q2659" s="662" t="s">
        <v>1002</v>
      </c>
      <c r="R2659" s="618"/>
      <c r="S2659" s="621" t="s">
        <v>3535</v>
      </c>
      <c r="T2659" s="619" t="s">
        <v>1078</v>
      </c>
    </row>
    <row r="2660" spans="1:20">
      <c r="A2660" s="630">
        <v>2502720</v>
      </c>
      <c r="B2660" s="623"/>
      <c r="C2660" s="623"/>
      <c r="D2660" s="623"/>
      <c r="E2660" s="627" t="s">
        <v>1172</v>
      </c>
      <c r="F2660" s="631" t="s">
        <v>3581</v>
      </c>
      <c r="G2660" s="661">
        <v>250</v>
      </c>
      <c r="H2660" s="633">
        <v>2720</v>
      </c>
      <c r="I2660" s="618"/>
      <c r="J2660" s="619" t="s">
        <v>1172</v>
      </c>
      <c r="K2660" s="618"/>
      <c r="L2660" s="619">
        <v>93</v>
      </c>
      <c r="M2660" s="620">
        <v>88</v>
      </c>
      <c r="N2660" s="619"/>
      <c r="O2660" s="619">
        <v>19</v>
      </c>
      <c r="P2660" s="619" t="s">
        <v>760</v>
      </c>
      <c r="Q2660" s="662" t="s">
        <v>1002</v>
      </c>
      <c r="R2660" s="618"/>
      <c r="S2660" s="621" t="s">
        <v>3535</v>
      </c>
      <c r="T2660" s="619" t="s">
        <v>1079</v>
      </c>
    </row>
    <row r="2661" spans="1:20">
      <c r="A2661" s="630">
        <v>2602720</v>
      </c>
      <c r="B2661" s="623"/>
      <c r="C2661" s="623"/>
      <c r="D2661" s="623"/>
      <c r="E2661" s="627" t="s">
        <v>1174</v>
      </c>
      <c r="F2661" s="631" t="s">
        <v>3582</v>
      </c>
      <c r="G2661" s="661">
        <v>260</v>
      </c>
      <c r="H2661" s="633">
        <v>2720</v>
      </c>
      <c r="I2661" s="618"/>
      <c r="J2661" s="619" t="s">
        <v>1174</v>
      </c>
      <c r="K2661" s="618"/>
      <c r="L2661" s="619">
        <v>95</v>
      </c>
      <c r="M2661" s="620">
        <v>90</v>
      </c>
      <c r="N2661" s="619"/>
      <c r="O2661" s="619">
        <v>19</v>
      </c>
      <c r="P2661" s="619" t="s">
        <v>760</v>
      </c>
      <c r="Q2661" s="662" t="s">
        <v>1002</v>
      </c>
      <c r="R2661" s="618"/>
      <c r="S2661" s="621" t="s">
        <v>3535</v>
      </c>
      <c r="T2661" s="619" t="s">
        <v>1081</v>
      </c>
    </row>
    <row r="2662" spans="1:20">
      <c r="A2662" s="630">
        <v>2702720</v>
      </c>
      <c r="B2662" s="623"/>
      <c r="C2662" s="623"/>
      <c r="D2662" s="623"/>
      <c r="E2662" s="627" t="s">
        <v>1176</v>
      </c>
      <c r="F2662" s="631" t="s">
        <v>3583</v>
      </c>
      <c r="G2662" s="661">
        <v>270</v>
      </c>
      <c r="H2662" s="633">
        <v>2720</v>
      </c>
      <c r="I2662" s="618"/>
      <c r="J2662" s="619" t="s">
        <v>1176</v>
      </c>
      <c r="K2662" s="618"/>
      <c r="L2662" s="619">
        <v>94</v>
      </c>
      <c r="M2662" s="620">
        <v>89</v>
      </c>
      <c r="N2662" s="619"/>
      <c r="O2662" s="619">
        <v>19</v>
      </c>
      <c r="P2662" s="619" t="s">
        <v>760</v>
      </c>
      <c r="Q2662" s="662" t="s">
        <v>1002</v>
      </c>
      <c r="R2662" s="618"/>
      <c r="S2662" s="621" t="s">
        <v>3535</v>
      </c>
      <c r="T2662" s="619" t="s">
        <v>1083</v>
      </c>
    </row>
    <row r="2663" spans="1:20">
      <c r="A2663" s="630">
        <v>2812720</v>
      </c>
      <c r="B2663" s="623"/>
      <c r="C2663" s="623"/>
      <c r="D2663" s="623"/>
      <c r="E2663" s="627" t="s">
        <v>1178</v>
      </c>
      <c r="F2663" s="631" t="s">
        <v>3584</v>
      </c>
      <c r="G2663" s="661">
        <v>281</v>
      </c>
      <c r="H2663" s="633">
        <v>2720</v>
      </c>
      <c r="I2663" s="618"/>
      <c r="J2663" s="619" t="s">
        <v>1178</v>
      </c>
      <c r="K2663" s="618"/>
      <c r="L2663" s="619">
        <v>95</v>
      </c>
      <c r="M2663" s="620">
        <v>90</v>
      </c>
      <c r="N2663" s="619"/>
      <c r="O2663" s="619">
        <v>19</v>
      </c>
      <c r="P2663" s="619" t="s">
        <v>760</v>
      </c>
      <c r="Q2663" s="662" t="s">
        <v>1002</v>
      </c>
      <c r="R2663" s="618"/>
      <c r="S2663" s="621" t="s">
        <v>3535</v>
      </c>
      <c r="T2663" s="619" t="s">
        <v>1085</v>
      </c>
    </row>
    <row r="2664" spans="1:20">
      <c r="A2664" s="630">
        <v>2822720</v>
      </c>
      <c r="B2664" s="623"/>
      <c r="C2664" s="623"/>
      <c r="D2664" s="623"/>
      <c r="E2664" s="627" t="s">
        <v>1180</v>
      </c>
      <c r="F2664" s="631" t="s">
        <v>3585</v>
      </c>
      <c r="G2664" s="661">
        <v>282</v>
      </c>
      <c r="H2664" s="633">
        <v>2720</v>
      </c>
      <c r="I2664" s="618"/>
      <c r="J2664" s="619" t="s">
        <v>1180</v>
      </c>
      <c r="K2664" s="618"/>
      <c r="L2664" s="619">
        <v>95</v>
      </c>
      <c r="M2664" s="620">
        <v>90</v>
      </c>
      <c r="N2664" s="619"/>
      <c r="O2664" s="619">
        <v>19</v>
      </c>
      <c r="P2664" s="619" t="s">
        <v>760</v>
      </c>
      <c r="Q2664" s="662" t="s">
        <v>1002</v>
      </c>
      <c r="R2664" s="618"/>
      <c r="S2664" s="621" t="s">
        <v>3535</v>
      </c>
      <c r="T2664" s="619" t="s">
        <v>1087</v>
      </c>
    </row>
    <row r="2665" spans="1:20">
      <c r="A2665" s="630">
        <v>2902720</v>
      </c>
      <c r="B2665" s="623"/>
      <c r="C2665" s="623"/>
      <c r="D2665" s="623"/>
      <c r="E2665" s="627" t="s">
        <v>1182</v>
      </c>
      <c r="F2665" s="631" t="s">
        <v>3586</v>
      </c>
      <c r="G2665" s="661">
        <v>290</v>
      </c>
      <c r="H2665" s="633">
        <v>2720</v>
      </c>
      <c r="I2665" s="618"/>
      <c r="J2665" s="619" t="s">
        <v>1182</v>
      </c>
      <c r="K2665" s="618"/>
      <c r="L2665" s="619">
        <v>95</v>
      </c>
      <c r="M2665" s="620">
        <v>90</v>
      </c>
      <c r="N2665" s="619"/>
      <c r="O2665" s="619">
        <v>19</v>
      </c>
      <c r="P2665" s="619" t="s">
        <v>760</v>
      </c>
      <c r="Q2665" s="662" t="s">
        <v>1002</v>
      </c>
      <c r="R2665" s="618"/>
      <c r="S2665" s="621" t="s">
        <v>3535</v>
      </c>
      <c r="T2665" s="619" t="s">
        <v>1090</v>
      </c>
    </row>
    <row r="2666" spans="1:20">
      <c r="A2666" s="622"/>
      <c r="B2666" s="623"/>
      <c r="C2666" s="629">
        <v>84</v>
      </c>
      <c r="D2666" s="774" t="s">
        <v>3587</v>
      </c>
      <c r="E2666" s="775"/>
      <c r="F2666" s="626"/>
      <c r="G2666" s="623"/>
      <c r="H2666" s="627"/>
      <c r="I2666" s="618"/>
      <c r="J2666" s="618"/>
      <c r="K2666" s="618"/>
      <c r="L2666" s="618"/>
      <c r="M2666" s="618"/>
      <c r="N2666" s="618"/>
      <c r="O2666" s="618"/>
      <c r="P2666" s="618"/>
      <c r="Q2666" s="662"/>
      <c r="R2666" s="618"/>
      <c r="S2666" s="621"/>
      <c r="T2666" s="618"/>
    </row>
    <row r="2667" spans="1:20">
      <c r="A2667" s="622"/>
      <c r="B2667" s="623"/>
      <c r="C2667" s="623"/>
      <c r="D2667" s="623" t="s">
        <v>756</v>
      </c>
      <c r="E2667" s="627" t="s">
        <v>244</v>
      </c>
      <c r="F2667" s="626"/>
      <c r="G2667" s="623"/>
      <c r="H2667" s="627"/>
      <c r="I2667" s="618"/>
      <c r="J2667" s="618"/>
      <c r="K2667" s="618"/>
      <c r="L2667" s="618"/>
      <c r="M2667" s="618"/>
      <c r="N2667" s="618"/>
      <c r="O2667" s="618"/>
      <c r="P2667" s="618"/>
      <c r="Q2667" s="662"/>
      <c r="R2667" s="618"/>
      <c r="S2667" s="621"/>
      <c r="T2667" s="618"/>
    </row>
    <row r="2668" spans="1:20">
      <c r="A2668" s="630">
        <v>1152730</v>
      </c>
      <c r="B2668" s="623"/>
      <c r="C2668" s="623"/>
      <c r="D2668" s="623"/>
      <c r="E2668" s="627" t="s">
        <v>3536</v>
      </c>
      <c r="F2668" s="631" t="s">
        <v>3588</v>
      </c>
      <c r="G2668" s="661">
        <v>115</v>
      </c>
      <c r="H2668" s="633">
        <v>2730</v>
      </c>
      <c r="I2668" s="618"/>
      <c r="J2668" s="619" t="s">
        <v>3536</v>
      </c>
      <c r="K2668" s="618"/>
      <c r="L2668" s="619">
        <v>86</v>
      </c>
      <c r="M2668" s="620">
        <v>81</v>
      </c>
      <c r="N2668" s="619"/>
      <c r="O2668" s="619">
        <v>19</v>
      </c>
      <c r="P2668" s="619" t="s">
        <v>1098</v>
      </c>
      <c r="Q2668" s="662" t="s">
        <v>1002</v>
      </c>
      <c r="R2668" s="618"/>
      <c r="S2668" s="621" t="s">
        <v>3587</v>
      </c>
      <c r="T2668" s="619" t="s">
        <v>3538</v>
      </c>
    </row>
    <row r="2669" spans="1:20">
      <c r="A2669" s="630">
        <v>1162730</v>
      </c>
      <c r="B2669" s="623"/>
      <c r="C2669" s="623"/>
      <c r="D2669" s="623"/>
      <c r="E2669" s="627" t="s">
        <v>3539</v>
      </c>
      <c r="F2669" s="631" t="s">
        <v>3589</v>
      </c>
      <c r="G2669" s="661">
        <v>116</v>
      </c>
      <c r="H2669" s="633">
        <v>2730</v>
      </c>
      <c r="I2669" s="618"/>
      <c r="J2669" s="619" t="s">
        <v>3539</v>
      </c>
      <c r="K2669" s="618"/>
      <c r="L2669" s="619">
        <v>85</v>
      </c>
      <c r="M2669" s="620">
        <v>80</v>
      </c>
      <c r="N2669" s="619"/>
      <c r="O2669" s="619">
        <v>19</v>
      </c>
      <c r="P2669" s="619" t="s">
        <v>1098</v>
      </c>
      <c r="Q2669" s="662" t="s">
        <v>1002</v>
      </c>
      <c r="R2669" s="618"/>
      <c r="S2669" s="621" t="s">
        <v>3587</v>
      </c>
      <c r="T2669" s="619" t="s">
        <v>3541</v>
      </c>
    </row>
    <row r="2670" spans="1:20">
      <c r="A2670" s="630">
        <v>1172730</v>
      </c>
      <c r="B2670" s="623"/>
      <c r="C2670" s="623"/>
      <c r="D2670" s="623"/>
      <c r="E2670" s="627" t="s">
        <v>3542</v>
      </c>
      <c r="F2670" s="631" t="s">
        <v>3590</v>
      </c>
      <c r="G2670" s="661">
        <v>117</v>
      </c>
      <c r="H2670" s="633">
        <v>2730</v>
      </c>
      <c r="I2670" s="618"/>
      <c r="J2670" s="619" t="s">
        <v>3542</v>
      </c>
      <c r="K2670" s="618"/>
      <c r="L2670" s="619">
        <v>86</v>
      </c>
      <c r="M2670" s="620">
        <v>81</v>
      </c>
      <c r="N2670" s="619"/>
      <c r="O2670" s="619">
        <v>19</v>
      </c>
      <c r="P2670" s="619" t="s">
        <v>1098</v>
      </c>
      <c r="Q2670" s="662" t="s">
        <v>1002</v>
      </c>
      <c r="R2670" s="618"/>
      <c r="S2670" s="621" t="s">
        <v>3587</v>
      </c>
      <c r="T2670" s="619" t="s">
        <v>3544</v>
      </c>
    </row>
    <row r="2671" spans="1:20">
      <c r="A2671" s="630">
        <v>1242730</v>
      </c>
      <c r="B2671" s="623"/>
      <c r="C2671" s="623"/>
      <c r="D2671" s="623"/>
      <c r="E2671" s="627" t="s">
        <v>3545</v>
      </c>
      <c r="F2671" s="631" t="s">
        <v>3591</v>
      </c>
      <c r="G2671" s="661">
        <v>124</v>
      </c>
      <c r="H2671" s="633">
        <v>2730</v>
      </c>
      <c r="I2671" s="618"/>
      <c r="J2671" s="619" t="s">
        <v>3545</v>
      </c>
      <c r="K2671" s="618"/>
      <c r="L2671" s="619">
        <v>86</v>
      </c>
      <c r="M2671" s="620">
        <v>81</v>
      </c>
      <c r="N2671" s="619"/>
      <c r="O2671" s="619">
        <v>19</v>
      </c>
      <c r="P2671" s="619" t="s">
        <v>1098</v>
      </c>
      <c r="Q2671" s="662" t="s">
        <v>1002</v>
      </c>
      <c r="R2671" s="618"/>
      <c r="S2671" s="621" t="s">
        <v>3587</v>
      </c>
      <c r="T2671" s="619" t="s">
        <v>3547</v>
      </c>
    </row>
    <row r="2672" spans="1:20">
      <c r="A2672" s="630">
        <v>1002730</v>
      </c>
      <c r="B2672" s="623"/>
      <c r="C2672" s="623"/>
      <c r="D2672" s="623"/>
      <c r="E2672" s="627" t="s">
        <v>3592</v>
      </c>
      <c r="F2672" s="631" t="s">
        <v>3593</v>
      </c>
      <c r="G2672" s="661">
        <v>100</v>
      </c>
      <c r="H2672" s="633">
        <v>2730</v>
      </c>
      <c r="I2672" s="618"/>
      <c r="J2672" s="619" t="s">
        <v>3592</v>
      </c>
      <c r="K2672" s="618"/>
      <c r="L2672" s="619">
        <v>86</v>
      </c>
      <c r="M2672" s="620">
        <v>81</v>
      </c>
      <c r="N2672" s="619"/>
      <c r="O2672" s="619">
        <v>19</v>
      </c>
      <c r="P2672" s="619" t="s">
        <v>1098</v>
      </c>
      <c r="Q2672" s="662" t="s">
        <v>1002</v>
      </c>
      <c r="R2672" s="618"/>
      <c r="S2672" s="621" t="s">
        <v>3587</v>
      </c>
      <c r="T2672" s="619" t="s">
        <v>3594</v>
      </c>
    </row>
    <row r="2673" spans="1:20">
      <c r="A2673" s="630">
        <v>3002730</v>
      </c>
      <c r="B2673" s="623"/>
      <c r="C2673" s="623"/>
      <c r="D2673" s="623" t="s">
        <v>775</v>
      </c>
      <c r="E2673" s="627" t="s">
        <v>1112</v>
      </c>
      <c r="F2673" s="631" t="s">
        <v>3595</v>
      </c>
      <c r="G2673" s="661">
        <v>300</v>
      </c>
      <c r="H2673" s="633">
        <v>2730</v>
      </c>
      <c r="I2673" s="618"/>
      <c r="J2673" s="619" t="s">
        <v>1112</v>
      </c>
      <c r="K2673" s="618"/>
      <c r="L2673" s="619">
        <v>101</v>
      </c>
      <c r="M2673" s="620">
        <v>96</v>
      </c>
      <c r="N2673" s="619"/>
      <c r="O2673" s="619">
        <v>19</v>
      </c>
      <c r="P2673" s="619" t="s">
        <v>1098</v>
      </c>
      <c r="Q2673" s="662"/>
      <c r="R2673" s="618"/>
      <c r="S2673" s="621" t="s">
        <v>3587</v>
      </c>
      <c r="T2673" s="619" t="s">
        <v>1112</v>
      </c>
    </row>
    <row r="2674" spans="1:20">
      <c r="A2674" s="622"/>
      <c r="B2674" s="623"/>
      <c r="C2674" s="623"/>
      <c r="D2674" s="623" t="s">
        <v>799</v>
      </c>
      <c r="E2674" s="627" t="s">
        <v>250</v>
      </c>
      <c r="F2674" s="626"/>
      <c r="G2674" s="623"/>
      <c r="H2674" s="627"/>
      <c r="I2674" s="618"/>
      <c r="J2674" s="618"/>
      <c r="K2674" s="618"/>
      <c r="L2674" s="618"/>
      <c r="M2674" s="618"/>
      <c r="N2674" s="618"/>
      <c r="O2674" s="618"/>
      <c r="P2674" s="618"/>
      <c r="Q2674" s="662"/>
      <c r="R2674" s="618"/>
      <c r="S2674" s="621"/>
      <c r="T2674" s="618"/>
    </row>
    <row r="2675" spans="1:20">
      <c r="A2675" s="630">
        <v>4302730</v>
      </c>
      <c r="B2675" s="623"/>
      <c r="C2675" s="623"/>
      <c r="D2675" s="623"/>
      <c r="E2675" s="627" t="s">
        <v>1114</v>
      </c>
      <c r="F2675" s="631" t="s">
        <v>3596</v>
      </c>
      <c r="G2675" s="661">
        <v>430</v>
      </c>
      <c r="H2675" s="633">
        <v>2730</v>
      </c>
      <c r="I2675" s="618"/>
      <c r="J2675" s="619" t="s">
        <v>1114</v>
      </c>
      <c r="K2675" s="618"/>
      <c r="L2675" s="619">
        <v>107</v>
      </c>
      <c r="M2675" s="620">
        <v>102</v>
      </c>
      <c r="N2675" s="619"/>
      <c r="O2675" s="619">
        <v>19</v>
      </c>
      <c r="P2675" s="619" t="s">
        <v>1098</v>
      </c>
      <c r="Q2675" s="662"/>
      <c r="R2675" s="618"/>
      <c r="S2675" s="621" t="s">
        <v>3587</v>
      </c>
      <c r="T2675" s="619" t="s">
        <v>1021</v>
      </c>
    </row>
    <row r="2676" spans="1:20">
      <c r="A2676" s="630">
        <v>4422730</v>
      </c>
      <c r="B2676" s="623"/>
      <c r="C2676" s="623"/>
      <c r="D2676" s="623"/>
      <c r="E2676" s="627" t="s">
        <v>1381</v>
      </c>
      <c r="F2676" s="631" t="s">
        <v>3597</v>
      </c>
      <c r="G2676" s="661">
        <v>442</v>
      </c>
      <c r="H2676" s="633">
        <v>2730</v>
      </c>
      <c r="I2676" s="618"/>
      <c r="J2676" s="619" t="s">
        <v>1381</v>
      </c>
      <c r="K2676" s="618"/>
      <c r="L2676" s="619">
        <v>106</v>
      </c>
      <c r="M2676" s="620">
        <v>101</v>
      </c>
      <c r="N2676" s="619"/>
      <c r="O2676" s="619">
        <v>19</v>
      </c>
      <c r="P2676" s="619" t="s">
        <v>1098</v>
      </c>
      <c r="Q2676" s="662"/>
      <c r="R2676" s="618"/>
      <c r="S2676" s="621" t="s">
        <v>3587</v>
      </c>
      <c r="T2676" s="619" t="s">
        <v>1383</v>
      </c>
    </row>
    <row r="2677" spans="1:20">
      <c r="A2677" s="630">
        <v>4002730</v>
      </c>
      <c r="B2677" s="623"/>
      <c r="C2677" s="623"/>
      <c r="D2677" s="623"/>
      <c r="E2677" s="627" t="s">
        <v>1118</v>
      </c>
      <c r="F2677" s="631" t="s">
        <v>3598</v>
      </c>
      <c r="G2677" s="661">
        <v>400</v>
      </c>
      <c r="H2677" s="633">
        <v>2730</v>
      </c>
      <c r="I2677" s="618"/>
      <c r="J2677" s="619" t="s">
        <v>1118</v>
      </c>
      <c r="K2677" s="618"/>
      <c r="L2677" s="619">
        <v>108</v>
      </c>
      <c r="M2677" s="620">
        <v>103</v>
      </c>
      <c r="N2677" s="619"/>
      <c r="O2677" s="619">
        <v>19</v>
      </c>
      <c r="P2677" s="619" t="s">
        <v>1098</v>
      </c>
      <c r="Q2677" s="662"/>
      <c r="R2677" s="618"/>
      <c r="S2677" s="621" t="s">
        <v>3587</v>
      </c>
      <c r="T2677" s="619" t="s">
        <v>1025</v>
      </c>
    </row>
    <row r="2678" spans="1:20">
      <c r="A2678" s="622"/>
      <c r="B2678" s="623"/>
      <c r="C2678" s="623"/>
      <c r="D2678" s="623" t="s">
        <v>803</v>
      </c>
      <c r="E2678" s="627" t="s">
        <v>252</v>
      </c>
      <c r="F2678" s="626"/>
      <c r="G2678" s="623"/>
      <c r="H2678" s="627"/>
      <c r="I2678" s="618"/>
      <c r="J2678" s="618"/>
      <c r="K2678" s="618"/>
      <c r="L2678" s="618"/>
      <c r="M2678" s="618"/>
      <c r="N2678" s="618"/>
      <c r="O2678" s="618"/>
      <c r="P2678" s="618"/>
      <c r="Q2678" s="662"/>
      <c r="R2678" s="618"/>
      <c r="S2678" s="621"/>
      <c r="T2678" s="618"/>
    </row>
    <row r="2679" spans="1:20">
      <c r="A2679" s="630">
        <v>5132730</v>
      </c>
      <c r="B2679" s="623"/>
      <c r="C2679" s="623"/>
      <c r="D2679" s="623"/>
      <c r="E2679" s="627" t="s">
        <v>3555</v>
      </c>
      <c r="F2679" s="631" t="s">
        <v>3599</v>
      </c>
      <c r="G2679" s="661">
        <v>513</v>
      </c>
      <c r="H2679" s="633">
        <v>2730</v>
      </c>
      <c r="I2679" s="618"/>
      <c r="J2679" s="619" t="s">
        <v>3555</v>
      </c>
      <c r="K2679" s="618"/>
      <c r="L2679" s="619">
        <v>111</v>
      </c>
      <c r="M2679" s="620">
        <v>106</v>
      </c>
      <c r="N2679" s="619"/>
      <c r="O2679" s="619">
        <v>19</v>
      </c>
      <c r="P2679" s="619" t="s">
        <v>1098</v>
      </c>
      <c r="Q2679" s="662"/>
      <c r="R2679" s="618"/>
      <c r="S2679" s="621" t="s">
        <v>3587</v>
      </c>
      <c r="T2679" s="619" t="s">
        <v>3557</v>
      </c>
    </row>
    <row r="2680" spans="1:20">
      <c r="A2680" s="630">
        <v>5232730</v>
      </c>
      <c r="B2680" s="623"/>
      <c r="C2680" s="623"/>
      <c r="D2680" s="623"/>
      <c r="E2680" s="627" t="s">
        <v>3558</v>
      </c>
      <c r="F2680" s="631" t="s">
        <v>3600</v>
      </c>
      <c r="G2680" s="661">
        <v>523</v>
      </c>
      <c r="H2680" s="633">
        <v>2730</v>
      </c>
      <c r="I2680" s="618"/>
      <c r="J2680" s="619" t="s">
        <v>3558</v>
      </c>
      <c r="K2680" s="618"/>
      <c r="L2680" s="619">
        <v>114</v>
      </c>
      <c r="M2680" s="620">
        <v>107</v>
      </c>
      <c r="N2680" s="619"/>
      <c r="O2680" s="619">
        <v>19</v>
      </c>
      <c r="P2680" s="619" t="s">
        <v>1098</v>
      </c>
      <c r="Q2680" s="662"/>
      <c r="R2680" s="618"/>
      <c r="S2680" s="621" t="s">
        <v>3587</v>
      </c>
      <c r="T2680" s="619" t="s">
        <v>1387</v>
      </c>
    </row>
    <row r="2681" spans="1:20">
      <c r="A2681" s="630">
        <v>5832730</v>
      </c>
      <c r="B2681" s="623"/>
      <c r="C2681" s="623"/>
      <c r="D2681" s="623"/>
      <c r="E2681" s="627" t="s">
        <v>3560</v>
      </c>
      <c r="F2681" s="631" t="s">
        <v>3601</v>
      </c>
      <c r="G2681" s="661">
        <v>583</v>
      </c>
      <c r="H2681" s="633">
        <v>2730</v>
      </c>
      <c r="I2681" s="618"/>
      <c r="J2681" s="619" t="s">
        <v>3560</v>
      </c>
      <c r="K2681" s="618"/>
      <c r="L2681" s="619">
        <v>118</v>
      </c>
      <c r="M2681" s="620">
        <v>109</v>
      </c>
      <c r="N2681" s="619"/>
      <c r="O2681" s="619">
        <v>19</v>
      </c>
      <c r="P2681" s="619" t="s">
        <v>1098</v>
      </c>
      <c r="Q2681" s="662"/>
      <c r="R2681" s="618"/>
      <c r="S2681" s="621" t="s">
        <v>3587</v>
      </c>
      <c r="T2681" s="619" t="s">
        <v>3562</v>
      </c>
    </row>
    <row r="2682" spans="1:20">
      <c r="A2682" s="630">
        <v>5002730</v>
      </c>
      <c r="B2682" s="623"/>
      <c r="C2682" s="623"/>
      <c r="D2682" s="623"/>
      <c r="E2682" s="627" t="s">
        <v>1394</v>
      </c>
      <c r="F2682" s="631" t="s">
        <v>3602</v>
      </c>
      <c r="G2682" s="661">
        <v>500</v>
      </c>
      <c r="H2682" s="633">
        <v>2730</v>
      </c>
      <c r="I2682" s="618"/>
      <c r="J2682" s="619" t="s">
        <v>1394</v>
      </c>
      <c r="K2682" s="618"/>
      <c r="L2682" s="619">
        <v>111</v>
      </c>
      <c r="M2682" s="620">
        <v>106</v>
      </c>
      <c r="N2682" s="619"/>
      <c r="O2682" s="619">
        <v>19</v>
      </c>
      <c r="P2682" s="619" t="s">
        <v>1098</v>
      </c>
      <c r="Q2682" s="662"/>
      <c r="R2682" s="618"/>
      <c r="S2682" s="621" t="s">
        <v>3587</v>
      </c>
      <c r="T2682" s="619" t="s">
        <v>252</v>
      </c>
    </row>
    <row r="2683" spans="1:20">
      <c r="A2683" s="622"/>
      <c r="B2683" s="623"/>
      <c r="C2683" s="623"/>
      <c r="D2683" s="623" t="s">
        <v>848</v>
      </c>
      <c r="E2683" s="627" t="s">
        <v>254</v>
      </c>
      <c r="F2683" s="626"/>
      <c r="G2683" s="623"/>
      <c r="H2683" s="627"/>
      <c r="I2683" s="618"/>
      <c r="J2683" s="618"/>
      <c r="K2683" s="618"/>
      <c r="L2683" s="618"/>
      <c r="M2683" s="618"/>
      <c r="N2683" s="618"/>
      <c r="O2683" s="618"/>
      <c r="P2683" s="618"/>
      <c r="Q2683" s="662"/>
      <c r="R2683" s="618"/>
      <c r="S2683" s="621"/>
      <c r="T2683" s="618"/>
    </row>
    <row r="2684" spans="1:20">
      <c r="A2684" s="630">
        <v>6152730</v>
      </c>
      <c r="B2684" s="623"/>
      <c r="C2684" s="623"/>
      <c r="D2684" s="623"/>
      <c r="E2684" s="627" t="s">
        <v>1138</v>
      </c>
      <c r="F2684" s="631" t="s">
        <v>3603</v>
      </c>
      <c r="G2684" s="661">
        <v>615</v>
      </c>
      <c r="H2684" s="633">
        <v>2730</v>
      </c>
      <c r="I2684" s="618"/>
      <c r="J2684" s="619" t="s">
        <v>1138</v>
      </c>
      <c r="K2684" s="618"/>
      <c r="L2684" s="619">
        <v>126</v>
      </c>
      <c r="M2684" s="620">
        <v>117</v>
      </c>
      <c r="N2684" s="619"/>
      <c r="O2684" s="619">
        <v>19</v>
      </c>
      <c r="P2684" s="619" t="s">
        <v>1098</v>
      </c>
      <c r="Q2684" s="662" t="s">
        <v>1043</v>
      </c>
      <c r="R2684" s="618"/>
      <c r="S2684" s="621" t="s">
        <v>3587</v>
      </c>
      <c r="T2684" s="619" t="s">
        <v>1041</v>
      </c>
    </row>
    <row r="2685" spans="1:20">
      <c r="A2685" s="630">
        <v>6102730</v>
      </c>
      <c r="B2685" s="623"/>
      <c r="C2685" s="623"/>
      <c r="D2685" s="623"/>
      <c r="E2685" s="627" t="s">
        <v>1140</v>
      </c>
      <c r="F2685" s="631" t="s">
        <v>3604</v>
      </c>
      <c r="G2685" s="661">
        <v>610</v>
      </c>
      <c r="H2685" s="633">
        <v>2730</v>
      </c>
      <c r="I2685" s="618"/>
      <c r="J2685" s="619" t="s">
        <v>1140</v>
      </c>
      <c r="K2685" s="618"/>
      <c r="L2685" s="619">
        <v>122</v>
      </c>
      <c r="M2685" s="620">
        <v>113</v>
      </c>
      <c r="N2685" s="619"/>
      <c r="O2685" s="619">
        <v>19</v>
      </c>
      <c r="P2685" s="619" t="s">
        <v>1098</v>
      </c>
      <c r="Q2685" s="662" t="s">
        <v>1043</v>
      </c>
      <c r="R2685" s="618"/>
      <c r="S2685" s="621" t="s">
        <v>3587</v>
      </c>
      <c r="T2685" s="619" t="s">
        <v>39</v>
      </c>
    </row>
    <row r="2686" spans="1:20">
      <c r="A2686" s="630">
        <v>6262730</v>
      </c>
      <c r="B2686" s="623"/>
      <c r="C2686" s="623"/>
      <c r="D2686" s="623"/>
      <c r="E2686" s="627" t="s">
        <v>1398</v>
      </c>
      <c r="F2686" s="631" t="s">
        <v>3605</v>
      </c>
      <c r="G2686" s="661">
        <v>626</v>
      </c>
      <c r="H2686" s="633">
        <v>2730</v>
      </c>
      <c r="I2686" s="618"/>
      <c r="J2686" s="619" t="s">
        <v>1398</v>
      </c>
      <c r="K2686" s="618"/>
      <c r="L2686" s="619">
        <v>123</v>
      </c>
      <c r="M2686" s="620">
        <v>114</v>
      </c>
      <c r="N2686" s="619"/>
      <c r="O2686" s="619">
        <v>19</v>
      </c>
      <c r="P2686" s="619" t="s">
        <v>1098</v>
      </c>
      <c r="Q2686" s="662" t="s">
        <v>1043</v>
      </c>
      <c r="R2686" s="618"/>
      <c r="S2686" s="621" t="s">
        <v>3587</v>
      </c>
      <c r="T2686" s="619" t="s">
        <v>1400</v>
      </c>
    </row>
    <row r="2687" spans="1:20">
      <c r="A2687" s="630">
        <v>6002730</v>
      </c>
      <c r="B2687" s="623"/>
      <c r="C2687" s="623"/>
      <c r="D2687" s="623"/>
      <c r="E2687" s="627" t="s">
        <v>1144</v>
      </c>
      <c r="F2687" s="631" t="s">
        <v>3606</v>
      </c>
      <c r="G2687" s="661">
        <v>600</v>
      </c>
      <c r="H2687" s="633">
        <v>2730</v>
      </c>
      <c r="I2687" s="618"/>
      <c r="J2687" s="619" t="s">
        <v>1144</v>
      </c>
      <c r="K2687" s="618"/>
      <c r="L2687" s="619">
        <v>126</v>
      </c>
      <c r="M2687" s="620">
        <v>117</v>
      </c>
      <c r="N2687" s="619"/>
      <c r="O2687" s="619">
        <v>19</v>
      </c>
      <c r="P2687" s="619" t="s">
        <v>1098</v>
      </c>
      <c r="Q2687" s="662"/>
      <c r="R2687" s="618"/>
      <c r="S2687" s="621" t="s">
        <v>3587</v>
      </c>
      <c r="T2687" s="619" t="s">
        <v>1048</v>
      </c>
    </row>
    <row r="2688" spans="1:20">
      <c r="A2688" s="622"/>
      <c r="B2688" s="623"/>
      <c r="C2688" s="623"/>
      <c r="D2688" s="623" t="s">
        <v>851</v>
      </c>
      <c r="E2688" s="627" t="s">
        <v>1050</v>
      </c>
      <c r="F2688" s="626"/>
      <c r="G2688" s="623"/>
      <c r="H2688" s="627"/>
      <c r="I2688" s="618"/>
      <c r="J2688" s="618"/>
      <c r="K2688" s="618"/>
      <c r="L2688" s="618"/>
      <c r="M2688" s="618"/>
      <c r="N2688" s="618"/>
      <c r="O2688" s="618"/>
      <c r="P2688" s="618"/>
      <c r="Q2688" s="662"/>
      <c r="R2688" s="618"/>
      <c r="S2688" s="621"/>
      <c r="T2688" s="618"/>
    </row>
    <row r="2689" spans="1:20">
      <c r="A2689" s="630">
        <v>7342730</v>
      </c>
      <c r="B2689" s="623"/>
      <c r="C2689" s="623"/>
      <c r="D2689" s="623"/>
      <c r="E2689" s="627" t="s">
        <v>1146</v>
      </c>
      <c r="F2689" s="631" t="s">
        <v>3607</v>
      </c>
      <c r="G2689" s="661">
        <v>734</v>
      </c>
      <c r="H2689" s="633">
        <v>2730</v>
      </c>
      <c r="I2689" s="618"/>
      <c r="J2689" s="619" t="s">
        <v>1146</v>
      </c>
      <c r="K2689" s="618"/>
      <c r="L2689" s="619">
        <v>131</v>
      </c>
      <c r="M2689" s="620">
        <v>122</v>
      </c>
      <c r="N2689" s="619"/>
      <c r="O2689" s="619">
        <v>19</v>
      </c>
      <c r="P2689" s="619" t="s">
        <v>760</v>
      </c>
      <c r="Q2689" s="662"/>
      <c r="R2689" s="618"/>
      <c r="S2689" s="621" t="s">
        <v>3587</v>
      </c>
      <c r="T2689" s="619" t="s">
        <v>1051</v>
      </c>
    </row>
    <row r="2690" spans="1:20">
      <c r="A2690" s="630">
        <v>7352730</v>
      </c>
      <c r="B2690" s="623"/>
      <c r="C2690" s="623"/>
      <c r="D2690" s="623"/>
      <c r="E2690" s="627" t="s">
        <v>1148</v>
      </c>
      <c r="F2690" s="631" t="s">
        <v>3608</v>
      </c>
      <c r="G2690" s="661">
        <v>735</v>
      </c>
      <c r="H2690" s="633">
        <v>2730</v>
      </c>
      <c r="I2690" s="618"/>
      <c r="J2690" s="619" t="s">
        <v>1148</v>
      </c>
      <c r="K2690" s="618"/>
      <c r="L2690" s="619">
        <v>131</v>
      </c>
      <c r="M2690" s="620">
        <v>122</v>
      </c>
      <c r="N2690" s="619"/>
      <c r="O2690" s="619">
        <v>19</v>
      </c>
      <c r="P2690" s="619" t="s">
        <v>760</v>
      </c>
      <c r="Q2690" s="662"/>
      <c r="R2690" s="618"/>
      <c r="S2690" s="621" t="s">
        <v>3587</v>
      </c>
      <c r="T2690" s="619" t="s">
        <v>1053</v>
      </c>
    </row>
    <row r="2691" spans="1:20">
      <c r="A2691" s="630">
        <v>7302730</v>
      </c>
      <c r="B2691" s="623"/>
      <c r="C2691" s="623"/>
      <c r="D2691" s="623"/>
      <c r="E2691" s="627" t="s">
        <v>3517</v>
      </c>
      <c r="F2691" s="631" t="s">
        <v>3609</v>
      </c>
      <c r="G2691" s="661">
        <v>730</v>
      </c>
      <c r="H2691" s="633">
        <v>2730</v>
      </c>
      <c r="I2691" s="618"/>
      <c r="J2691" s="619" t="s">
        <v>3517</v>
      </c>
      <c r="K2691" s="618"/>
      <c r="L2691" s="619">
        <v>131</v>
      </c>
      <c r="M2691" s="620">
        <v>122</v>
      </c>
      <c r="N2691" s="619"/>
      <c r="O2691" s="619">
        <v>19</v>
      </c>
      <c r="P2691" s="619" t="s">
        <v>760</v>
      </c>
      <c r="Q2691" s="662"/>
      <c r="R2691" s="618"/>
      <c r="S2691" s="621" t="s">
        <v>3587</v>
      </c>
      <c r="T2691" s="619" t="s">
        <v>1055</v>
      </c>
    </row>
    <row r="2692" spans="1:20">
      <c r="A2692" s="630">
        <v>7002730</v>
      </c>
      <c r="B2692" s="623"/>
      <c r="C2692" s="623"/>
      <c r="D2692" s="623"/>
      <c r="E2692" s="627" t="s">
        <v>1152</v>
      </c>
      <c r="F2692" s="631" t="s">
        <v>3610</v>
      </c>
      <c r="G2692" s="661">
        <v>700</v>
      </c>
      <c r="H2692" s="633">
        <v>2730</v>
      </c>
      <c r="I2692" s="618"/>
      <c r="J2692" s="619" t="s">
        <v>1152</v>
      </c>
      <c r="K2692" s="618"/>
      <c r="L2692" s="619">
        <v>132</v>
      </c>
      <c r="M2692" s="620">
        <v>123</v>
      </c>
      <c r="N2692" s="619"/>
      <c r="O2692" s="619">
        <v>19</v>
      </c>
      <c r="P2692" s="619" t="s">
        <v>760</v>
      </c>
      <c r="Q2692" s="662"/>
      <c r="R2692" s="618"/>
      <c r="S2692" s="621" t="s">
        <v>3587</v>
      </c>
      <c r="T2692" s="619" t="s">
        <v>1057</v>
      </c>
    </row>
    <row r="2693" spans="1:20">
      <c r="A2693" s="622"/>
      <c r="B2693" s="623"/>
      <c r="C2693" s="623"/>
      <c r="D2693" s="623" t="s">
        <v>854</v>
      </c>
      <c r="E2693" s="627" t="s">
        <v>256</v>
      </c>
      <c r="F2693" s="626"/>
      <c r="G2693" s="623"/>
      <c r="H2693" s="627"/>
      <c r="I2693" s="618"/>
      <c r="J2693" s="618"/>
      <c r="K2693" s="618"/>
      <c r="L2693" s="618"/>
      <c r="M2693" s="618"/>
      <c r="N2693" s="618"/>
      <c r="O2693" s="618"/>
      <c r="P2693" s="618"/>
      <c r="Q2693" s="662"/>
      <c r="R2693" s="618"/>
      <c r="S2693" s="621"/>
      <c r="T2693" s="618"/>
    </row>
    <row r="2694" spans="1:20">
      <c r="A2694" s="630">
        <v>8952730</v>
      </c>
      <c r="B2694" s="623"/>
      <c r="C2694" s="623"/>
      <c r="D2694" s="623"/>
      <c r="E2694" s="627" t="s">
        <v>1154</v>
      </c>
      <c r="F2694" s="631" t="s">
        <v>3611</v>
      </c>
      <c r="G2694" s="661">
        <v>895</v>
      </c>
      <c r="H2694" s="633">
        <v>2730</v>
      </c>
      <c r="I2694" s="618"/>
      <c r="J2694" s="619" t="s">
        <v>1154</v>
      </c>
      <c r="K2694" s="618"/>
      <c r="L2694" s="619">
        <v>139</v>
      </c>
      <c r="M2694" s="620">
        <v>129</v>
      </c>
      <c r="N2694" s="619"/>
      <c r="O2694" s="619">
        <v>19</v>
      </c>
      <c r="P2694" s="619" t="s">
        <v>1098</v>
      </c>
      <c r="Q2694" s="662"/>
      <c r="R2694" s="618"/>
      <c r="S2694" s="621" t="s">
        <v>3587</v>
      </c>
      <c r="T2694" s="619" t="s">
        <v>1059</v>
      </c>
    </row>
    <row r="2695" spans="1:20">
      <c r="A2695" s="630">
        <v>8002730</v>
      </c>
      <c r="B2695" s="623"/>
      <c r="C2695" s="623"/>
      <c r="D2695" s="623"/>
      <c r="E2695" s="627" t="s">
        <v>1156</v>
      </c>
      <c r="F2695" s="631" t="s">
        <v>3612</v>
      </c>
      <c r="G2695" s="661">
        <v>800</v>
      </c>
      <c r="H2695" s="633">
        <v>2730</v>
      </c>
      <c r="I2695" s="618"/>
      <c r="J2695" s="619" t="s">
        <v>1156</v>
      </c>
      <c r="K2695" s="618"/>
      <c r="L2695" s="619">
        <v>139</v>
      </c>
      <c r="M2695" s="620">
        <v>129</v>
      </c>
      <c r="N2695" s="619"/>
      <c r="O2695" s="619">
        <v>19</v>
      </c>
      <c r="P2695" s="619" t="s">
        <v>1098</v>
      </c>
      <c r="Q2695" s="662"/>
      <c r="R2695" s="618"/>
      <c r="S2695" s="621" t="s">
        <v>3587</v>
      </c>
      <c r="T2695" s="619" t="s">
        <v>1061</v>
      </c>
    </row>
    <row r="2696" spans="1:20">
      <c r="A2696" s="622"/>
      <c r="B2696" s="623"/>
      <c r="C2696" s="623"/>
      <c r="D2696" s="623" t="s">
        <v>857</v>
      </c>
      <c r="E2696" s="627" t="s">
        <v>3613</v>
      </c>
      <c r="F2696" s="626"/>
      <c r="G2696" s="623"/>
      <c r="H2696" s="627"/>
      <c r="I2696" s="618"/>
      <c r="J2696" s="618"/>
      <c r="K2696" s="618"/>
      <c r="L2696" s="618"/>
      <c r="M2696" s="618"/>
      <c r="N2696" s="618"/>
      <c r="O2696" s="618"/>
      <c r="P2696" s="618"/>
      <c r="Q2696" s="662"/>
      <c r="R2696" s="618"/>
      <c r="S2696" s="621"/>
      <c r="T2696" s="618"/>
    </row>
    <row r="2697" spans="1:20">
      <c r="A2697" s="630">
        <v>2102730</v>
      </c>
      <c r="B2697" s="623"/>
      <c r="C2697" s="623"/>
      <c r="D2697" s="623"/>
      <c r="E2697" s="627" t="s">
        <v>1158</v>
      </c>
      <c r="F2697" s="631" t="s">
        <v>3614</v>
      </c>
      <c r="G2697" s="661">
        <v>210</v>
      </c>
      <c r="H2697" s="633">
        <v>2730</v>
      </c>
      <c r="I2697" s="618"/>
      <c r="J2697" s="619" t="s">
        <v>1158</v>
      </c>
      <c r="K2697" s="618"/>
      <c r="L2697" s="619">
        <v>89</v>
      </c>
      <c r="M2697" s="620">
        <v>84</v>
      </c>
      <c r="N2697" s="619"/>
      <c r="O2697" s="619">
        <v>19</v>
      </c>
      <c r="P2697" s="619" t="s">
        <v>1098</v>
      </c>
      <c r="Q2697" s="662" t="s">
        <v>1002</v>
      </c>
      <c r="R2697" s="618"/>
      <c r="S2697" s="621" t="s">
        <v>3587</v>
      </c>
      <c r="T2697" s="619" t="s">
        <v>1064</v>
      </c>
    </row>
    <row r="2698" spans="1:20">
      <c r="A2698" s="630">
        <v>2202730</v>
      </c>
      <c r="B2698" s="623"/>
      <c r="C2698" s="623"/>
      <c r="D2698" s="623"/>
      <c r="E2698" s="627" t="s">
        <v>1160</v>
      </c>
      <c r="F2698" s="631" t="s">
        <v>3615</v>
      </c>
      <c r="G2698" s="661">
        <v>220</v>
      </c>
      <c r="H2698" s="633">
        <v>2730</v>
      </c>
      <c r="I2698" s="618"/>
      <c r="J2698" s="619" t="s">
        <v>1160</v>
      </c>
      <c r="K2698" s="618"/>
      <c r="L2698" s="619">
        <v>90</v>
      </c>
      <c r="M2698" s="620">
        <v>85</v>
      </c>
      <c r="N2698" s="619"/>
      <c r="O2698" s="619">
        <v>19</v>
      </c>
      <c r="P2698" s="619" t="s">
        <v>1098</v>
      </c>
      <c r="Q2698" s="662" t="s">
        <v>1002</v>
      </c>
      <c r="R2698" s="618"/>
      <c r="S2698" s="621" t="s">
        <v>3587</v>
      </c>
      <c r="T2698" s="619" t="s">
        <v>1066</v>
      </c>
    </row>
    <row r="2699" spans="1:20">
      <c r="A2699" s="630">
        <v>2252730</v>
      </c>
      <c r="B2699" s="623"/>
      <c r="C2699" s="623"/>
      <c r="D2699" s="623"/>
      <c r="E2699" s="627" t="s">
        <v>1162</v>
      </c>
      <c r="F2699" s="631" t="s">
        <v>3616</v>
      </c>
      <c r="G2699" s="661">
        <v>225</v>
      </c>
      <c r="H2699" s="633">
        <v>2730</v>
      </c>
      <c r="I2699" s="618"/>
      <c r="J2699" s="619" t="s">
        <v>1162</v>
      </c>
      <c r="K2699" s="618"/>
      <c r="L2699" s="619">
        <v>91</v>
      </c>
      <c r="M2699" s="620">
        <v>86</v>
      </c>
      <c r="N2699" s="619"/>
      <c r="O2699" s="619">
        <v>19</v>
      </c>
      <c r="P2699" s="619" t="s">
        <v>1098</v>
      </c>
      <c r="Q2699" s="662" t="s">
        <v>1002</v>
      </c>
      <c r="R2699" s="618"/>
      <c r="S2699" s="621" t="s">
        <v>3587</v>
      </c>
      <c r="T2699" s="619" t="s">
        <v>23</v>
      </c>
    </row>
    <row r="2700" spans="1:20">
      <c r="A2700" s="622"/>
      <c r="B2700" s="623"/>
      <c r="C2700" s="623"/>
      <c r="D2700" s="623"/>
      <c r="E2700" s="627" t="s">
        <v>1164</v>
      </c>
      <c r="F2700" s="626"/>
      <c r="G2700" s="623"/>
      <c r="H2700" s="627"/>
      <c r="I2700" s="618"/>
      <c r="J2700" s="618"/>
      <c r="K2700" s="618"/>
      <c r="L2700" s="618"/>
      <c r="M2700" s="618"/>
      <c r="N2700" s="618"/>
      <c r="O2700" s="618"/>
      <c r="P2700" s="618"/>
      <c r="Q2700" s="662"/>
      <c r="R2700" s="618"/>
      <c r="S2700" s="621"/>
      <c r="T2700" s="618"/>
    </row>
    <row r="2701" spans="1:20">
      <c r="A2701" s="630">
        <v>2312730</v>
      </c>
      <c r="B2701" s="623"/>
      <c r="C2701" s="623"/>
      <c r="D2701" s="623"/>
      <c r="E2701" s="627" t="s">
        <v>1165</v>
      </c>
      <c r="F2701" s="631" t="s">
        <v>3617</v>
      </c>
      <c r="G2701" s="661">
        <v>231</v>
      </c>
      <c r="H2701" s="633">
        <v>2730</v>
      </c>
      <c r="I2701" s="618"/>
      <c r="J2701" s="619" t="s">
        <v>1165</v>
      </c>
      <c r="K2701" s="618"/>
      <c r="L2701" s="619">
        <v>92</v>
      </c>
      <c r="M2701" s="620">
        <v>87</v>
      </c>
      <c r="N2701" s="619"/>
      <c r="O2701" s="619">
        <v>19</v>
      </c>
      <c r="P2701" s="619" t="s">
        <v>1098</v>
      </c>
      <c r="Q2701" s="662" t="s">
        <v>1002</v>
      </c>
      <c r="R2701" s="618"/>
      <c r="S2701" s="621" t="s">
        <v>3587</v>
      </c>
      <c r="T2701" s="619" t="s">
        <v>1072</v>
      </c>
    </row>
    <row r="2702" spans="1:20">
      <c r="A2702" s="630">
        <v>2332730</v>
      </c>
      <c r="B2702" s="623"/>
      <c r="C2702" s="623"/>
      <c r="D2702" s="623"/>
      <c r="E2702" s="627" t="s">
        <v>1167</v>
      </c>
      <c r="F2702" s="631" t="s">
        <v>3618</v>
      </c>
      <c r="G2702" s="661">
        <v>233</v>
      </c>
      <c r="H2702" s="633">
        <v>2730</v>
      </c>
      <c r="I2702" s="618"/>
      <c r="J2702" s="619" t="s">
        <v>1167</v>
      </c>
      <c r="K2702" s="618"/>
      <c r="L2702" s="619">
        <v>92</v>
      </c>
      <c r="M2702" s="620">
        <v>87</v>
      </c>
      <c r="N2702" s="619"/>
      <c r="O2702" s="619">
        <v>19</v>
      </c>
      <c r="P2702" s="619" t="s">
        <v>1098</v>
      </c>
      <c r="Q2702" s="662" t="s">
        <v>1002</v>
      </c>
      <c r="R2702" s="618"/>
      <c r="S2702" s="621" t="s">
        <v>3587</v>
      </c>
      <c r="T2702" s="619" t="s">
        <v>1169</v>
      </c>
    </row>
    <row r="2703" spans="1:20">
      <c r="A2703" s="630">
        <v>2392730</v>
      </c>
      <c r="B2703" s="623"/>
      <c r="C2703" s="623"/>
      <c r="D2703" s="623"/>
      <c r="E2703" s="627" t="s">
        <v>1170</v>
      </c>
      <c r="F2703" s="631" t="s">
        <v>3619</v>
      </c>
      <c r="G2703" s="661">
        <v>239</v>
      </c>
      <c r="H2703" s="633">
        <v>2730</v>
      </c>
      <c r="I2703" s="618"/>
      <c r="J2703" s="619" t="s">
        <v>1170</v>
      </c>
      <c r="K2703" s="618"/>
      <c r="L2703" s="619">
        <v>92</v>
      </c>
      <c r="M2703" s="620">
        <v>87</v>
      </c>
      <c r="N2703" s="619"/>
      <c r="O2703" s="619">
        <v>19</v>
      </c>
      <c r="P2703" s="619" t="s">
        <v>1098</v>
      </c>
      <c r="Q2703" s="662" t="s">
        <v>1002</v>
      </c>
      <c r="R2703" s="618"/>
      <c r="S2703" s="621" t="s">
        <v>3587</v>
      </c>
      <c r="T2703" s="619" t="s">
        <v>1078</v>
      </c>
    </row>
    <row r="2704" spans="1:20">
      <c r="A2704" s="630">
        <v>2502730</v>
      </c>
      <c r="B2704" s="623"/>
      <c r="C2704" s="623"/>
      <c r="D2704" s="623"/>
      <c r="E2704" s="627" t="s">
        <v>1172</v>
      </c>
      <c r="F2704" s="631" t="s">
        <v>3620</v>
      </c>
      <c r="G2704" s="661">
        <v>250</v>
      </c>
      <c r="H2704" s="633">
        <v>2730</v>
      </c>
      <c r="I2704" s="618"/>
      <c r="J2704" s="619" t="s">
        <v>1172</v>
      </c>
      <c r="K2704" s="618"/>
      <c r="L2704" s="619">
        <v>93</v>
      </c>
      <c r="M2704" s="620">
        <v>88</v>
      </c>
      <c r="N2704" s="619"/>
      <c r="O2704" s="619">
        <v>19</v>
      </c>
      <c r="P2704" s="619" t="s">
        <v>1098</v>
      </c>
      <c r="Q2704" s="662" t="s">
        <v>1002</v>
      </c>
      <c r="R2704" s="618"/>
      <c r="S2704" s="621" t="s">
        <v>3587</v>
      </c>
      <c r="T2704" s="619" t="s">
        <v>1079</v>
      </c>
    </row>
    <row r="2705" spans="1:20">
      <c r="A2705" s="630">
        <v>2602730</v>
      </c>
      <c r="B2705" s="623"/>
      <c r="C2705" s="623"/>
      <c r="D2705" s="623"/>
      <c r="E2705" s="627" t="s">
        <v>1174</v>
      </c>
      <c r="F2705" s="631" t="s">
        <v>3621</v>
      </c>
      <c r="G2705" s="661">
        <v>260</v>
      </c>
      <c r="H2705" s="633">
        <v>2730</v>
      </c>
      <c r="I2705" s="618"/>
      <c r="J2705" s="619" t="s">
        <v>1174</v>
      </c>
      <c r="K2705" s="618"/>
      <c r="L2705" s="619">
        <v>95</v>
      </c>
      <c r="M2705" s="620">
        <v>90</v>
      </c>
      <c r="N2705" s="619"/>
      <c r="O2705" s="619">
        <v>19</v>
      </c>
      <c r="P2705" s="619" t="s">
        <v>1098</v>
      </c>
      <c r="Q2705" s="662" t="s">
        <v>1002</v>
      </c>
      <c r="R2705" s="618"/>
      <c r="S2705" s="621" t="s">
        <v>3587</v>
      </c>
      <c r="T2705" s="619" t="s">
        <v>1081</v>
      </c>
    </row>
    <row r="2706" spans="1:20">
      <c r="A2706" s="630">
        <v>2702730</v>
      </c>
      <c r="B2706" s="623"/>
      <c r="C2706" s="623"/>
      <c r="D2706" s="623"/>
      <c r="E2706" s="627" t="s">
        <v>1176</v>
      </c>
      <c r="F2706" s="631" t="s">
        <v>3622</v>
      </c>
      <c r="G2706" s="661">
        <v>270</v>
      </c>
      <c r="H2706" s="633">
        <v>2730</v>
      </c>
      <c r="I2706" s="618"/>
      <c r="J2706" s="619" t="s">
        <v>1176</v>
      </c>
      <c r="K2706" s="618"/>
      <c r="L2706" s="619">
        <v>94</v>
      </c>
      <c r="M2706" s="620">
        <v>89</v>
      </c>
      <c r="N2706" s="619"/>
      <c r="O2706" s="619">
        <v>19</v>
      </c>
      <c r="P2706" s="619" t="s">
        <v>1098</v>
      </c>
      <c r="Q2706" s="662" t="s">
        <v>1002</v>
      </c>
      <c r="R2706" s="618"/>
      <c r="S2706" s="621" t="s">
        <v>3587</v>
      </c>
      <c r="T2706" s="619" t="s">
        <v>1083</v>
      </c>
    </row>
    <row r="2707" spans="1:20">
      <c r="A2707" s="630">
        <v>2812730</v>
      </c>
      <c r="B2707" s="623"/>
      <c r="C2707" s="623"/>
      <c r="D2707" s="623"/>
      <c r="E2707" s="627" t="s">
        <v>1178</v>
      </c>
      <c r="F2707" s="631" t="s">
        <v>3623</v>
      </c>
      <c r="G2707" s="661">
        <v>281</v>
      </c>
      <c r="H2707" s="633">
        <v>2730</v>
      </c>
      <c r="I2707" s="618"/>
      <c r="J2707" s="619" t="s">
        <v>1178</v>
      </c>
      <c r="K2707" s="618"/>
      <c r="L2707" s="619">
        <v>95</v>
      </c>
      <c r="M2707" s="620">
        <v>90</v>
      </c>
      <c r="N2707" s="619"/>
      <c r="O2707" s="619">
        <v>19</v>
      </c>
      <c r="P2707" s="619" t="s">
        <v>1098</v>
      </c>
      <c r="Q2707" s="662" t="s">
        <v>1002</v>
      </c>
      <c r="R2707" s="618"/>
      <c r="S2707" s="621" t="s">
        <v>3587</v>
      </c>
      <c r="T2707" s="619" t="s">
        <v>1085</v>
      </c>
    </row>
    <row r="2708" spans="1:20">
      <c r="A2708" s="630">
        <v>2822730</v>
      </c>
      <c r="B2708" s="623"/>
      <c r="C2708" s="623"/>
      <c r="D2708" s="623"/>
      <c r="E2708" s="627" t="s">
        <v>1180</v>
      </c>
      <c r="F2708" s="631" t="s">
        <v>3624</v>
      </c>
      <c r="G2708" s="661">
        <v>282</v>
      </c>
      <c r="H2708" s="633">
        <v>2730</v>
      </c>
      <c r="I2708" s="618"/>
      <c r="J2708" s="619" t="s">
        <v>1180</v>
      </c>
      <c r="K2708" s="618"/>
      <c r="L2708" s="619">
        <v>95</v>
      </c>
      <c r="M2708" s="620">
        <v>90</v>
      </c>
      <c r="N2708" s="619"/>
      <c r="O2708" s="619">
        <v>19</v>
      </c>
      <c r="P2708" s="619" t="s">
        <v>1098</v>
      </c>
      <c r="Q2708" s="662" t="s">
        <v>1002</v>
      </c>
      <c r="R2708" s="618"/>
      <c r="S2708" s="621" t="s">
        <v>3587</v>
      </c>
      <c r="T2708" s="619" t="s">
        <v>1087</v>
      </c>
    </row>
    <row r="2709" spans="1:20" ht="16" thickBot="1">
      <c r="A2709" s="630">
        <v>2902730</v>
      </c>
      <c r="B2709" s="667"/>
      <c r="C2709" s="623"/>
      <c r="D2709" s="623"/>
      <c r="E2709" s="627" t="s">
        <v>1182</v>
      </c>
      <c r="F2709" s="631" t="s">
        <v>3625</v>
      </c>
      <c r="G2709" s="661">
        <v>290</v>
      </c>
      <c r="H2709" s="633">
        <v>2730</v>
      </c>
      <c r="I2709" s="618"/>
      <c r="J2709" s="619" t="s">
        <v>1182</v>
      </c>
      <c r="K2709" s="618"/>
      <c r="L2709" s="619">
        <v>95</v>
      </c>
      <c r="M2709" s="620">
        <v>90</v>
      </c>
      <c r="N2709" s="619"/>
      <c r="O2709" s="619">
        <v>19</v>
      </c>
      <c r="P2709" s="619" t="s">
        <v>1098</v>
      </c>
      <c r="Q2709" s="662" t="s">
        <v>1002</v>
      </c>
      <c r="R2709" s="618"/>
      <c r="S2709" s="621" t="s">
        <v>3587</v>
      </c>
      <c r="T2709" s="619" t="s">
        <v>1090</v>
      </c>
    </row>
    <row r="2710" spans="1:20" ht="16.5" thickTop="1" thickBot="1">
      <c r="A2710" s="622"/>
      <c r="B2710" s="613"/>
      <c r="C2710" s="772" t="s">
        <v>3626</v>
      </c>
      <c r="D2710" s="773"/>
      <c r="E2710" s="782"/>
      <c r="F2710" s="656" t="s">
        <v>615</v>
      </c>
      <c r="G2710" s="657"/>
      <c r="H2710" s="658"/>
      <c r="I2710" s="618"/>
      <c r="J2710" s="618"/>
      <c r="K2710" s="618"/>
      <c r="L2710" s="618"/>
      <c r="M2710" s="618"/>
      <c r="N2710" s="618"/>
      <c r="O2710" s="618"/>
      <c r="P2710" s="618"/>
      <c r="Q2710" s="662"/>
      <c r="R2710" s="618"/>
      <c r="S2710" s="621"/>
      <c r="T2710" s="618"/>
    </row>
    <row r="2711" spans="1:20" ht="16" thickTop="1">
      <c r="A2711" s="622"/>
      <c r="B2711" s="623"/>
      <c r="C2711" s="623"/>
      <c r="D2711" s="623"/>
      <c r="E2711" s="627"/>
      <c r="F2711" s="626"/>
      <c r="G2711" s="623"/>
      <c r="H2711" s="627"/>
      <c r="I2711" s="618"/>
      <c r="J2711" s="618"/>
      <c r="K2711" s="618"/>
      <c r="L2711" s="618"/>
      <c r="M2711" s="618"/>
      <c r="N2711" s="618"/>
      <c r="O2711" s="618"/>
      <c r="P2711" s="618"/>
      <c r="Q2711" s="662"/>
      <c r="R2711" s="618"/>
      <c r="S2711" s="621"/>
      <c r="T2711" s="618"/>
    </row>
    <row r="2712" spans="1:20">
      <c r="A2712" s="622"/>
      <c r="B2712" s="628" t="s">
        <v>3627</v>
      </c>
      <c r="C2712" s="770" t="s">
        <v>689</v>
      </c>
      <c r="D2712" s="771"/>
      <c r="E2712" s="775"/>
      <c r="F2712" s="626"/>
      <c r="G2712" s="623"/>
      <c r="H2712" s="627"/>
      <c r="I2712" s="618"/>
      <c r="J2712" s="618"/>
      <c r="K2712" s="618"/>
      <c r="L2712" s="618"/>
      <c r="M2712" s="618"/>
      <c r="N2712" s="618"/>
      <c r="O2712" s="618"/>
      <c r="P2712" s="618"/>
      <c r="Q2712" s="662"/>
      <c r="R2712" s="618"/>
      <c r="S2712" s="621"/>
      <c r="T2712" s="618"/>
    </row>
    <row r="2713" spans="1:20">
      <c r="A2713" s="622"/>
      <c r="B2713" s="623"/>
      <c r="C2713" s="629">
        <v>85</v>
      </c>
      <c r="D2713" s="784" t="s">
        <v>3628</v>
      </c>
      <c r="E2713" s="775"/>
      <c r="F2713" s="626"/>
      <c r="G2713" s="623"/>
      <c r="H2713" s="627"/>
      <c r="I2713" s="618"/>
      <c r="J2713" s="618"/>
      <c r="K2713" s="618"/>
      <c r="L2713" s="618"/>
      <c r="M2713" s="618"/>
      <c r="N2713" s="618"/>
      <c r="O2713" s="618"/>
      <c r="P2713" s="618"/>
      <c r="Q2713" s="662"/>
      <c r="R2713" s="618"/>
      <c r="S2713" s="621"/>
      <c r="T2713" s="618"/>
    </row>
    <row r="2714" spans="1:20">
      <c r="A2714" s="622"/>
      <c r="B2714" s="623"/>
      <c r="C2714" s="623"/>
      <c r="D2714" s="623" t="s">
        <v>756</v>
      </c>
      <c r="E2714" s="627" t="s">
        <v>244</v>
      </c>
      <c r="F2714" s="626"/>
      <c r="G2714" s="623"/>
      <c r="H2714" s="627"/>
      <c r="I2714" s="618"/>
      <c r="J2714" s="618"/>
      <c r="K2714" s="618"/>
      <c r="L2714" s="618"/>
      <c r="M2714" s="618"/>
      <c r="N2714" s="618"/>
      <c r="O2714" s="618"/>
      <c r="P2714" s="618"/>
      <c r="Q2714" s="662"/>
      <c r="R2714" s="618"/>
      <c r="S2714" s="621"/>
      <c r="T2714" s="618"/>
    </row>
    <row r="2715" spans="1:20">
      <c r="A2715" s="630">
        <v>1112810</v>
      </c>
      <c r="B2715" s="623"/>
      <c r="C2715" s="623"/>
      <c r="D2715" s="623"/>
      <c r="E2715" s="627" t="s">
        <v>1844</v>
      </c>
      <c r="F2715" s="631" t="s">
        <v>3629</v>
      </c>
      <c r="G2715" s="661">
        <v>111</v>
      </c>
      <c r="H2715" s="633">
        <v>2810</v>
      </c>
      <c r="I2715" s="618"/>
      <c r="J2715" s="619" t="s">
        <v>1844</v>
      </c>
      <c r="K2715" s="618"/>
      <c r="L2715" s="619">
        <v>81</v>
      </c>
      <c r="M2715" s="620">
        <v>76</v>
      </c>
      <c r="N2715" s="619"/>
      <c r="O2715" s="619">
        <v>20</v>
      </c>
      <c r="P2715" s="619" t="s">
        <v>760</v>
      </c>
      <c r="Q2715" s="662"/>
      <c r="R2715" s="618"/>
      <c r="S2715" s="621" t="s">
        <v>3628</v>
      </c>
      <c r="T2715" s="619" t="s">
        <v>1847</v>
      </c>
    </row>
    <row r="2716" spans="1:20">
      <c r="A2716" s="630">
        <v>1142810</v>
      </c>
      <c r="B2716" s="623"/>
      <c r="C2716" s="623"/>
      <c r="D2716" s="623"/>
      <c r="E2716" s="627" t="s">
        <v>3196</v>
      </c>
      <c r="F2716" s="631" t="s">
        <v>3630</v>
      </c>
      <c r="G2716" s="661">
        <v>114</v>
      </c>
      <c r="H2716" s="633">
        <v>2810</v>
      </c>
      <c r="I2716" s="618"/>
      <c r="J2716" s="619" t="s">
        <v>3196</v>
      </c>
      <c r="K2716" s="618"/>
      <c r="L2716" s="619">
        <v>84</v>
      </c>
      <c r="M2716" s="620">
        <v>79</v>
      </c>
      <c r="N2716" s="619"/>
      <c r="O2716" s="619">
        <v>20</v>
      </c>
      <c r="P2716" s="619" t="s">
        <v>760</v>
      </c>
      <c r="Q2716" s="662"/>
      <c r="R2716" s="618"/>
      <c r="S2716" s="621" t="s">
        <v>3628</v>
      </c>
      <c r="T2716" s="619" t="s">
        <v>1853</v>
      </c>
    </row>
    <row r="2717" spans="1:20">
      <c r="A2717" s="630">
        <v>1002810</v>
      </c>
      <c r="B2717" s="623"/>
      <c r="C2717" s="623"/>
      <c r="D2717" s="623"/>
      <c r="E2717" s="627" t="s">
        <v>3631</v>
      </c>
      <c r="F2717" s="631" t="s">
        <v>3632</v>
      </c>
      <c r="G2717" s="661">
        <v>100</v>
      </c>
      <c r="H2717" s="633">
        <v>2810</v>
      </c>
      <c r="I2717" s="618"/>
      <c r="J2717" s="619" t="s">
        <v>3631</v>
      </c>
      <c r="K2717" s="618"/>
      <c r="L2717" s="619">
        <v>86</v>
      </c>
      <c r="M2717" s="620">
        <v>81</v>
      </c>
      <c r="N2717" s="619"/>
      <c r="O2717" s="619">
        <v>20</v>
      </c>
      <c r="P2717" s="619" t="s">
        <v>760</v>
      </c>
      <c r="Q2717" s="662"/>
      <c r="R2717" s="618"/>
      <c r="S2717" s="621" t="s">
        <v>3628</v>
      </c>
      <c r="T2717" s="619" t="s">
        <v>3633</v>
      </c>
    </row>
    <row r="2718" spans="1:20">
      <c r="A2718" s="630">
        <v>3002810</v>
      </c>
      <c r="B2718" s="623"/>
      <c r="C2718" s="623"/>
      <c r="D2718" s="623" t="s">
        <v>775</v>
      </c>
      <c r="E2718" s="627" t="s">
        <v>1112</v>
      </c>
      <c r="F2718" s="631" t="s">
        <v>3634</v>
      </c>
      <c r="G2718" s="661">
        <v>300</v>
      </c>
      <c r="H2718" s="633">
        <v>2810</v>
      </c>
      <c r="I2718" s="618"/>
      <c r="J2718" s="619" t="s">
        <v>1112</v>
      </c>
      <c r="K2718" s="618"/>
      <c r="L2718" s="619">
        <v>101</v>
      </c>
      <c r="M2718" s="620">
        <v>96</v>
      </c>
      <c r="N2718" s="619"/>
      <c r="O2718" s="619">
        <v>20</v>
      </c>
      <c r="P2718" s="619" t="s">
        <v>760</v>
      </c>
      <c r="Q2718" s="662"/>
      <c r="R2718" s="618"/>
      <c r="S2718" s="621" t="s">
        <v>3628</v>
      </c>
      <c r="T2718" s="619" t="s">
        <v>1112</v>
      </c>
    </row>
    <row r="2719" spans="1:20">
      <c r="A2719" s="622"/>
      <c r="B2719" s="623"/>
      <c r="C2719" s="623"/>
      <c r="D2719" s="623" t="s">
        <v>799</v>
      </c>
      <c r="E2719" s="627" t="s">
        <v>250</v>
      </c>
      <c r="F2719" s="626"/>
      <c r="G2719" s="623"/>
      <c r="H2719" s="627"/>
      <c r="I2719" s="618"/>
      <c r="J2719" s="618"/>
      <c r="K2719" s="618"/>
      <c r="L2719" s="618"/>
      <c r="M2719" s="618"/>
      <c r="N2719" s="618"/>
      <c r="O2719" s="618"/>
      <c r="P2719" s="618"/>
      <c r="Q2719" s="662"/>
      <c r="R2719" s="618"/>
      <c r="S2719" s="621"/>
      <c r="T2719" s="618"/>
    </row>
    <row r="2720" spans="1:20">
      <c r="A2720" s="630">
        <v>4302810</v>
      </c>
      <c r="B2720" s="623"/>
      <c r="C2720" s="623"/>
      <c r="D2720" s="623"/>
      <c r="E2720" s="627" t="s">
        <v>1114</v>
      </c>
      <c r="F2720" s="631" t="s">
        <v>3635</v>
      </c>
      <c r="G2720" s="661">
        <v>430</v>
      </c>
      <c r="H2720" s="633">
        <v>2810</v>
      </c>
      <c r="I2720" s="618"/>
      <c r="J2720" s="619" t="s">
        <v>1114</v>
      </c>
      <c r="K2720" s="618"/>
      <c r="L2720" s="619">
        <v>107</v>
      </c>
      <c r="M2720" s="620">
        <v>102</v>
      </c>
      <c r="N2720" s="619"/>
      <c r="O2720" s="619">
        <v>20</v>
      </c>
      <c r="P2720" s="619" t="s">
        <v>760</v>
      </c>
      <c r="Q2720" s="662"/>
      <c r="R2720" s="618"/>
      <c r="S2720" s="621" t="s">
        <v>3628</v>
      </c>
      <c r="T2720" s="619" t="s">
        <v>1021</v>
      </c>
    </row>
    <row r="2721" spans="1:20">
      <c r="A2721" s="630">
        <v>4002810</v>
      </c>
      <c r="B2721" s="623"/>
      <c r="C2721" s="623"/>
      <c r="D2721" s="623"/>
      <c r="E2721" s="627" t="s">
        <v>3005</v>
      </c>
      <c r="F2721" s="631" t="s">
        <v>3636</v>
      </c>
      <c r="G2721" s="661">
        <v>400</v>
      </c>
      <c r="H2721" s="633">
        <v>2810</v>
      </c>
      <c r="I2721" s="618"/>
      <c r="J2721" s="619" t="s">
        <v>3005</v>
      </c>
      <c r="K2721" s="618"/>
      <c r="L2721" s="619">
        <v>108</v>
      </c>
      <c r="M2721" s="620">
        <v>103</v>
      </c>
      <c r="N2721" s="619"/>
      <c r="O2721" s="619">
        <v>20</v>
      </c>
      <c r="P2721" s="619" t="s">
        <v>760</v>
      </c>
      <c r="Q2721" s="662"/>
      <c r="R2721" s="618"/>
      <c r="S2721" s="621" t="s">
        <v>3628</v>
      </c>
      <c r="T2721" s="619" t="s">
        <v>1025</v>
      </c>
    </row>
    <row r="2722" spans="1:20">
      <c r="A2722" s="622"/>
      <c r="B2722" s="623"/>
      <c r="C2722" s="623"/>
      <c r="D2722" s="623" t="s">
        <v>803</v>
      </c>
      <c r="E2722" s="627" t="s">
        <v>252</v>
      </c>
      <c r="F2722" s="626"/>
      <c r="G2722" s="623"/>
      <c r="H2722" s="627"/>
      <c r="I2722" s="618"/>
      <c r="J2722" s="618"/>
      <c r="K2722" s="618"/>
      <c r="L2722" s="618"/>
      <c r="M2722" s="618"/>
      <c r="N2722" s="618"/>
      <c r="O2722" s="618"/>
      <c r="P2722" s="618"/>
      <c r="Q2722" s="662"/>
      <c r="R2722" s="618"/>
      <c r="S2722" s="621"/>
      <c r="T2722" s="618"/>
    </row>
    <row r="2723" spans="1:20">
      <c r="A2723" s="630">
        <v>5822810</v>
      </c>
      <c r="B2723" s="623"/>
      <c r="C2723" s="623"/>
      <c r="D2723" s="623"/>
      <c r="E2723" s="627" t="s">
        <v>1863</v>
      </c>
      <c r="F2723" s="631" t="s">
        <v>3637</v>
      </c>
      <c r="G2723" s="661">
        <v>582</v>
      </c>
      <c r="H2723" s="633">
        <v>2810</v>
      </c>
      <c r="I2723" s="618"/>
      <c r="J2723" s="619" t="s">
        <v>1863</v>
      </c>
      <c r="K2723" s="618"/>
      <c r="L2723" s="619">
        <v>118</v>
      </c>
      <c r="M2723" s="620">
        <v>109</v>
      </c>
      <c r="N2723" s="619"/>
      <c r="O2723" s="619">
        <v>20</v>
      </c>
      <c r="P2723" s="619" t="s">
        <v>760</v>
      </c>
      <c r="Q2723" s="662"/>
      <c r="R2723" s="618"/>
      <c r="S2723" s="621" t="s">
        <v>3628</v>
      </c>
      <c r="T2723" s="619" t="s">
        <v>1037</v>
      </c>
    </row>
    <row r="2724" spans="1:20">
      <c r="A2724" s="630">
        <v>5002810</v>
      </c>
      <c r="B2724" s="623"/>
      <c r="C2724" s="623"/>
      <c r="D2724" s="623"/>
      <c r="E2724" s="627" t="s">
        <v>1865</v>
      </c>
      <c r="F2724" s="631" t="s">
        <v>3638</v>
      </c>
      <c r="G2724" s="661">
        <v>500</v>
      </c>
      <c r="H2724" s="633">
        <v>2810</v>
      </c>
      <c r="I2724" s="618"/>
      <c r="J2724" s="619" t="s">
        <v>1865</v>
      </c>
      <c r="K2724" s="618"/>
      <c r="L2724" s="619">
        <v>119</v>
      </c>
      <c r="M2724" s="620">
        <v>110</v>
      </c>
      <c r="N2724" s="619"/>
      <c r="O2724" s="619">
        <v>20</v>
      </c>
      <c r="P2724" s="619" t="s">
        <v>760</v>
      </c>
      <c r="Q2724" s="662"/>
      <c r="R2724" s="618"/>
      <c r="S2724" s="621" t="s">
        <v>3628</v>
      </c>
      <c r="T2724" s="619" t="s">
        <v>252</v>
      </c>
    </row>
    <row r="2725" spans="1:20">
      <c r="A2725" s="622"/>
      <c r="B2725" s="623"/>
      <c r="C2725" s="623"/>
      <c r="D2725" s="623" t="s">
        <v>848</v>
      </c>
      <c r="E2725" s="627" t="s">
        <v>254</v>
      </c>
      <c r="F2725" s="626"/>
      <c r="G2725" s="623"/>
      <c r="H2725" s="627"/>
      <c r="I2725" s="618"/>
      <c r="J2725" s="618"/>
      <c r="K2725" s="618"/>
      <c r="L2725" s="618"/>
      <c r="M2725" s="618"/>
      <c r="N2725" s="618"/>
      <c r="O2725" s="618"/>
      <c r="P2725" s="618"/>
      <c r="Q2725" s="662"/>
      <c r="R2725" s="618"/>
      <c r="S2725" s="621"/>
      <c r="T2725" s="618"/>
    </row>
    <row r="2726" spans="1:20">
      <c r="A2726" s="630">
        <v>6152810</v>
      </c>
      <c r="B2726" s="623"/>
      <c r="C2726" s="623"/>
      <c r="D2726" s="623"/>
      <c r="E2726" s="627" t="s">
        <v>1138</v>
      </c>
      <c r="F2726" s="631" t="s">
        <v>3639</v>
      </c>
      <c r="G2726" s="661">
        <v>615</v>
      </c>
      <c r="H2726" s="633">
        <v>2810</v>
      </c>
      <c r="I2726" s="618"/>
      <c r="J2726" s="619" t="s">
        <v>1138</v>
      </c>
      <c r="K2726" s="618"/>
      <c r="L2726" s="619">
        <v>126</v>
      </c>
      <c r="M2726" s="620">
        <v>117</v>
      </c>
      <c r="N2726" s="619"/>
      <c r="O2726" s="619">
        <v>20</v>
      </c>
      <c r="P2726" s="619" t="s">
        <v>760</v>
      </c>
      <c r="Q2726" s="662" t="s">
        <v>1043</v>
      </c>
      <c r="R2726" s="618"/>
      <c r="S2726" s="621" t="s">
        <v>3628</v>
      </c>
      <c r="T2726" s="619" t="s">
        <v>1041</v>
      </c>
    </row>
    <row r="2727" spans="1:20">
      <c r="A2727" s="630">
        <v>6102810</v>
      </c>
      <c r="B2727" s="623"/>
      <c r="C2727" s="623"/>
      <c r="D2727" s="623"/>
      <c r="E2727" s="627" t="s">
        <v>1140</v>
      </c>
      <c r="F2727" s="631" t="s">
        <v>3640</v>
      </c>
      <c r="G2727" s="661">
        <v>610</v>
      </c>
      <c r="H2727" s="633">
        <v>2810</v>
      </c>
      <c r="I2727" s="618"/>
      <c r="J2727" s="619" t="s">
        <v>1140</v>
      </c>
      <c r="K2727" s="618"/>
      <c r="L2727" s="619">
        <v>122</v>
      </c>
      <c r="M2727" s="620">
        <v>113</v>
      </c>
      <c r="N2727" s="619"/>
      <c r="O2727" s="619">
        <v>20</v>
      </c>
      <c r="P2727" s="619" t="s">
        <v>760</v>
      </c>
      <c r="Q2727" s="662" t="s">
        <v>1043</v>
      </c>
      <c r="R2727" s="618"/>
      <c r="S2727" s="621" t="s">
        <v>3628</v>
      </c>
      <c r="T2727" s="619" t="s">
        <v>39</v>
      </c>
    </row>
    <row r="2728" spans="1:20">
      <c r="A2728" s="630">
        <v>6002810</v>
      </c>
      <c r="B2728" s="623"/>
      <c r="C2728" s="623"/>
      <c r="D2728" s="623"/>
      <c r="E2728" s="627" t="s">
        <v>1869</v>
      </c>
      <c r="F2728" s="631" t="s">
        <v>3641</v>
      </c>
      <c r="G2728" s="661">
        <v>600</v>
      </c>
      <c r="H2728" s="633">
        <v>2810</v>
      </c>
      <c r="I2728" s="618"/>
      <c r="J2728" s="619" t="s">
        <v>1869</v>
      </c>
      <c r="K2728" s="618"/>
      <c r="L2728" s="619">
        <v>126</v>
      </c>
      <c r="M2728" s="620">
        <v>117</v>
      </c>
      <c r="N2728" s="619"/>
      <c r="O2728" s="619">
        <v>20</v>
      </c>
      <c r="P2728" s="619" t="s">
        <v>760</v>
      </c>
      <c r="Q2728" s="662"/>
      <c r="R2728" s="618"/>
      <c r="S2728" s="621" t="s">
        <v>3628</v>
      </c>
      <c r="T2728" s="619" t="s">
        <v>1048</v>
      </c>
    </row>
    <row r="2729" spans="1:20">
      <c r="A2729" s="622"/>
      <c r="B2729" s="623"/>
      <c r="C2729" s="623"/>
      <c r="D2729" s="623" t="s">
        <v>851</v>
      </c>
      <c r="E2729" s="627" t="s">
        <v>1050</v>
      </c>
      <c r="F2729" s="626"/>
      <c r="G2729" s="623"/>
      <c r="H2729" s="627"/>
      <c r="I2729" s="618"/>
      <c r="J2729" s="618"/>
      <c r="K2729" s="618"/>
      <c r="L2729" s="618"/>
      <c r="M2729" s="618"/>
      <c r="N2729" s="618"/>
      <c r="O2729" s="618"/>
      <c r="P2729" s="618"/>
      <c r="Q2729" s="662"/>
      <c r="R2729" s="618"/>
      <c r="S2729" s="621"/>
      <c r="T2729" s="618"/>
    </row>
    <row r="2730" spans="1:20">
      <c r="A2730" s="630">
        <v>7342810</v>
      </c>
      <c r="B2730" s="623"/>
      <c r="C2730" s="623"/>
      <c r="D2730" s="623"/>
      <c r="E2730" s="627" t="s">
        <v>1146</v>
      </c>
      <c r="F2730" s="631" t="s">
        <v>3642</v>
      </c>
      <c r="G2730" s="661">
        <v>734</v>
      </c>
      <c r="H2730" s="633">
        <v>2810</v>
      </c>
      <c r="I2730" s="618"/>
      <c r="J2730" s="619" t="s">
        <v>1146</v>
      </c>
      <c r="K2730" s="618"/>
      <c r="L2730" s="619">
        <v>131</v>
      </c>
      <c r="M2730" s="620">
        <v>122</v>
      </c>
      <c r="N2730" s="619"/>
      <c r="O2730" s="619">
        <v>20</v>
      </c>
      <c r="P2730" s="619" t="s">
        <v>760</v>
      </c>
      <c r="Q2730" s="662"/>
      <c r="R2730" s="618"/>
      <c r="S2730" s="621" t="s">
        <v>3628</v>
      </c>
      <c r="T2730" s="619" t="s">
        <v>1051</v>
      </c>
    </row>
    <row r="2731" spans="1:20">
      <c r="A2731" s="630">
        <v>7352810</v>
      </c>
      <c r="B2731" s="623"/>
      <c r="C2731" s="623"/>
      <c r="D2731" s="623"/>
      <c r="E2731" s="627" t="s">
        <v>1148</v>
      </c>
      <c r="F2731" s="631" t="s">
        <v>3643</v>
      </c>
      <c r="G2731" s="661">
        <v>735</v>
      </c>
      <c r="H2731" s="633">
        <v>2810</v>
      </c>
      <c r="I2731" s="618"/>
      <c r="J2731" s="619" t="s">
        <v>1148</v>
      </c>
      <c r="K2731" s="618"/>
      <c r="L2731" s="619">
        <v>131</v>
      </c>
      <c r="M2731" s="620">
        <v>122</v>
      </c>
      <c r="N2731" s="619"/>
      <c r="O2731" s="619">
        <v>20</v>
      </c>
      <c r="P2731" s="619" t="s">
        <v>760</v>
      </c>
      <c r="Q2731" s="662"/>
      <c r="R2731" s="618"/>
      <c r="S2731" s="621" t="s">
        <v>3628</v>
      </c>
      <c r="T2731" s="619" t="s">
        <v>1053</v>
      </c>
    </row>
    <row r="2732" spans="1:20">
      <c r="A2732" s="630">
        <v>7302810</v>
      </c>
      <c r="B2732" s="623"/>
      <c r="C2732" s="623"/>
      <c r="D2732" s="623"/>
      <c r="E2732" s="627" t="s">
        <v>1150</v>
      </c>
      <c r="F2732" s="631" t="s">
        <v>3644</v>
      </c>
      <c r="G2732" s="661">
        <v>730</v>
      </c>
      <c r="H2732" s="633">
        <v>2810</v>
      </c>
      <c r="I2732" s="618"/>
      <c r="J2732" s="619" t="s">
        <v>1150</v>
      </c>
      <c r="K2732" s="618"/>
      <c r="L2732" s="619">
        <v>131</v>
      </c>
      <c r="M2732" s="620">
        <v>122</v>
      </c>
      <c r="N2732" s="619"/>
      <c r="O2732" s="619">
        <v>20</v>
      </c>
      <c r="P2732" s="619" t="s">
        <v>760</v>
      </c>
      <c r="Q2732" s="662"/>
      <c r="R2732" s="618"/>
      <c r="S2732" s="621" t="s">
        <v>3628</v>
      </c>
      <c r="T2732" s="619" t="s">
        <v>1055</v>
      </c>
    </row>
    <row r="2733" spans="1:20">
      <c r="A2733" s="630">
        <v>7002810</v>
      </c>
      <c r="B2733" s="623"/>
      <c r="C2733" s="623"/>
      <c r="D2733" s="623"/>
      <c r="E2733" s="627" t="s">
        <v>1152</v>
      </c>
      <c r="F2733" s="631" t="s">
        <v>3645</v>
      </c>
      <c r="G2733" s="661">
        <v>700</v>
      </c>
      <c r="H2733" s="633">
        <v>2810</v>
      </c>
      <c r="I2733" s="618"/>
      <c r="J2733" s="619" t="s">
        <v>1152</v>
      </c>
      <c r="K2733" s="618"/>
      <c r="L2733" s="619">
        <v>132</v>
      </c>
      <c r="M2733" s="620">
        <v>123</v>
      </c>
      <c r="N2733" s="619"/>
      <c r="O2733" s="619">
        <v>20</v>
      </c>
      <c r="P2733" s="619" t="s">
        <v>760</v>
      </c>
      <c r="Q2733" s="662"/>
      <c r="R2733" s="618"/>
      <c r="S2733" s="621" t="s">
        <v>3628</v>
      </c>
      <c r="T2733" s="619" t="s">
        <v>1057</v>
      </c>
    </row>
    <row r="2734" spans="1:20">
      <c r="A2734" s="622"/>
      <c r="B2734" s="623"/>
      <c r="C2734" s="623"/>
      <c r="D2734" s="623" t="s">
        <v>854</v>
      </c>
      <c r="E2734" s="627" t="s">
        <v>256</v>
      </c>
      <c r="F2734" s="626"/>
      <c r="G2734" s="623"/>
      <c r="H2734" s="627"/>
      <c r="I2734" s="618"/>
      <c r="J2734" s="618"/>
      <c r="K2734" s="618"/>
      <c r="L2734" s="618"/>
      <c r="M2734" s="618"/>
      <c r="N2734" s="618"/>
      <c r="O2734" s="618"/>
      <c r="P2734" s="618"/>
      <c r="Q2734" s="662"/>
      <c r="R2734" s="618"/>
      <c r="S2734" s="621"/>
      <c r="T2734" s="618"/>
    </row>
    <row r="2735" spans="1:20">
      <c r="A2735" s="630">
        <v>8952810</v>
      </c>
      <c r="B2735" s="623"/>
      <c r="C2735" s="623"/>
      <c r="D2735" s="623"/>
      <c r="E2735" s="627" t="s">
        <v>1154</v>
      </c>
      <c r="F2735" s="631" t="s">
        <v>3646</v>
      </c>
      <c r="G2735" s="661">
        <v>895</v>
      </c>
      <c r="H2735" s="633">
        <v>2810</v>
      </c>
      <c r="I2735" s="618"/>
      <c r="J2735" s="619" t="s">
        <v>1154</v>
      </c>
      <c r="K2735" s="618"/>
      <c r="L2735" s="619">
        <v>139</v>
      </c>
      <c r="M2735" s="620">
        <v>129</v>
      </c>
      <c r="N2735" s="619"/>
      <c r="O2735" s="619">
        <v>20</v>
      </c>
      <c r="P2735" s="619" t="s">
        <v>760</v>
      </c>
      <c r="Q2735" s="662"/>
      <c r="R2735" s="618"/>
      <c r="S2735" s="621" t="s">
        <v>3628</v>
      </c>
      <c r="T2735" s="619" t="s">
        <v>1059</v>
      </c>
    </row>
    <row r="2736" spans="1:20">
      <c r="A2736" s="630">
        <v>8002810</v>
      </c>
      <c r="B2736" s="623"/>
      <c r="C2736" s="623"/>
      <c r="D2736" s="623"/>
      <c r="E2736" s="627" t="s">
        <v>1156</v>
      </c>
      <c r="F2736" s="631" t="s">
        <v>3647</v>
      </c>
      <c r="G2736" s="661">
        <v>800</v>
      </c>
      <c r="H2736" s="633">
        <v>2810</v>
      </c>
      <c r="I2736" s="618"/>
      <c r="J2736" s="619" t="s">
        <v>1156</v>
      </c>
      <c r="K2736" s="618"/>
      <c r="L2736" s="619">
        <v>139</v>
      </c>
      <c r="M2736" s="620">
        <v>129</v>
      </c>
      <c r="N2736" s="619"/>
      <c r="O2736" s="619">
        <v>20</v>
      </c>
      <c r="P2736" s="619" t="s">
        <v>760</v>
      </c>
      <c r="Q2736" s="662"/>
      <c r="R2736" s="618"/>
      <c r="S2736" s="621" t="s">
        <v>3628</v>
      </c>
      <c r="T2736" s="619" t="s">
        <v>1061</v>
      </c>
    </row>
    <row r="2737" spans="1:20">
      <c r="A2737" s="622"/>
      <c r="B2737" s="623"/>
      <c r="C2737" s="623"/>
      <c r="D2737" s="623" t="s">
        <v>857</v>
      </c>
      <c r="E2737" s="627" t="s">
        <v>3648</v>
      </c>
      <c r="F2737" s="626"/>
      <c r="G2737" s="623"/>
      <c r="H2737" s="627"/>
      <c r="I2737" s="618"/>
      <c r="J2737" s="618"/>
      <c r="K2737" s="618"/>
      <c r="L2737" s="618"/>
      <c r="M2737" s="618"/>
      <c r="N2737" s="618"/>
      <c r="O2737" s="618"/>
      <c r="P2737" s="618"/>
      <c r="Q2737" s="662"/>
      <c r="R2737" s="618"/>
      <c r="S2737" s="621"/>
      <c r="T2737" s="618"/>
    </row>
    <row r="2738" spans="1:20">
      <c r="A2738" s="630">
        <v>2102810</v>
      </c>
      <c r="B2738" s="623"/>
      <c r="C2738" s="623"/>
      <c r="D2738" s="623"/>
      <c r="E2738" s="627" t="s">
        <v>1158</v>
      </c>
      <c r="F2738" s="631" t="s">
        <v>3649</v>
      </c>
      <c r="G2738" s="661">
        <v>210</v>
      </c>
      <c r="H2738" s="633">
        <v>2810</v>
      </c>
      <c r="I2738" s="618"/>
      <c r="J2738" s="619" t="s">
        <v>1158</v>
      </c>
      <c r="K2738" s="618"/>
      <c r="L2738" s="619">
        <v>89</v>
      </c>
      <c r="M2738" s="620">
        <v>84</v>
      </c>
      <c r="N2738" s="619"/>
      <c r="O2738" s="619">
        <v>20</v>
      </c>
      <c r="P2738" s="619" t="s">
        <v>760</v>
      </c>
      <c r="Q2738" s="662"/>
      <c r="R2738" s="618"/>
      <c r="S2738" s="621" t="s">
        <v>3628</v>
      </c>
      <c r="T2738" s="619" t="s">
        <v>1064</v>
      </c>
    </row>
    <row r="2739" spans="1:20">
      <c r="A2739" s="630">
        <v>2202810</v>
      </c>
      <c r="B2739" s="623"/>
      <c r="C2739" s="623"/>
      <c r="D2739" s="623"/>
      <c r="E2739" s="627" t="s">
        <v>1160</v>
      </c>
      <c r="F2739" s="631" t="s">
        <v>3650</v>
      </c>
      <c r="G2739" s="661">
        <v>220</v>
      </c>
      <c r="H2739" s="633">
        <v>2810</v>
      </c>
      <c r="I2739" s="618"/>
      <c r="J2739" s="619" t="s">
        <v>1160</v>
      </c>
      <c r="K2739" s="618"/>
      <c r="L2739" s="619">
        <v>90</v>
      </c>
      <c r="M2739" s="620">
        <v>85</v>
      </c>
      <c r="N2739" s="619"/>
      <c r="O2739" s="619">
        <v>20</v>
      </c>
      <c r="P2739" s="619" t="s">
        <v>760</v>
      </c>
      <c r="Q2739" s="662"/>
      <c r="R2739" s="618"/>
      <c r="S2739" s="621" t="s">
        <v>3628</v>
      </c>
      <c r="T2739" s="619" t="s">
        <v>1066</v>
      </c>
    </row>
    <row r="2740" spans="1:20">
      <c r="A2740" s="630">
        <v>2252810</v>
      </c>
      <c r="B2740" s="623"/>
      <c r="C2740" s="623"/>
      <c r="D2740" s="623"/>
      <c r="E2740" s="627" t="s">
        <v>1162</v>
      </c>
      <c r="F2740" s="631" t="s">
        <v>3651</v>
      </c>
      <c r="G2740" s="661">
        <v>225</v>
      </c>
      <c r="H2740" s="633">
        <v>2810</v>
      </c>
      <c r="I2740" s="618"/>
      <c r="J2740" s="619" t="s">
        <v>1162</v>
      </c>
      <c r="K2740" s="618"/>
      <c r="L2740" s="619">
        <v>91</v>
      </c>
      <c r="M2740" s="620">
        <v>86</v>
      </c>
      <c r="N2740" s="619"/>
      <c r="O2740" s="619">
        <v>20</v>
      </c>
      <c r="P2740" s="619" t="s">
        <v>760</v>
      </c>
      <c r="Q2740" s="662"/>
      <c r="R2740" s="618"/>
      <c r="S2740" s="621" t="s">
        <v>3628</v>
      </c>
      <c r="T2740" s="619" t="s">
        <v>23</v>
      </c>
    </row>
    <row r="2741" spans="1:20">
      <c r="A2741" s="622"/>
      <c r="B2741" s="623"/>
      <c r="C2741" s="623"/>
      <c r="D2741" s="623"/>
      <c r="E2741" s="627" t="s">
        <v>1164</v>
      </c>
      <c r="F2741" s="626"/>
      <c r="G2741" s="623"/>
      <c r="H2741" s="627"/>
      <c r="I2741" s="618"/>
      <c r="J2741" s="618"/>
      <c r="K2741" s="618"/>
      <c r="L2741" s="618"/>
      <c r="M2741" s="618"/>
      <c r="N2741" s="618"/>
      <c r="O2741" s="618"/>
      <c r="P2741" s="618"/>
      <c r="Q2741" s="662"/>
      <c r="R2741" s="618"/>
      <c r="S2741" s="621"/>
      <c r="T2741" s="618"/>
    </row>
    <row r="2742" spans="1:20">
      <c r="A2742" s="630">
        <v>2312810</v>
      </c>
      <c r="B2742" s="623"/>
      <c r="C2742" s="623"/>
      <c r="D2742" s="623"/>
      <c r="E2742" s="627" t="s">
        <v>1165</v>
      </c>
      <c r="F2742" s="631" t="s">
        <v>3652</v>
      </c>
      <c r="G2742" s="661">
        <v>231</v>
      </c>
      <c r="H2742" s="633">
        <v>2810</v>
      </c>
      <c r="I2742" s="618"/>
      <c r="J2742" s="619" t="s">
        <v>1165</v>
      </c>
      <c r="K2742" s="618"/>
      <c r="L2742" s="619">
        <v>92</v>
      </c>
      <c r="M2742" s="620">
        <v>87</v>
      </c>
      <c r="N2742" s="619"/>
      <c r="O2742" s="619">
        <v>20</v>
      </c>
      <c r="P2742" s="619" t="s">
        <v>760</v>
      </c>
      <c r="Q2742" s="662"/>
      <c r="R2742" s="618"/>
      <c r="S2742" s="621" t="s">
        <v>3628</v>
      </c>
      <c r="T2742" s="619" t="s">
        <v>1072</v>
      </c>
    </row>
    <row r="2743" spans="1:20">
      <c r="A2743" s="630">
        <v>2332810</v>
      </c>
      <c r="B2743" s="623"/>
      <c r="C2743" s="623"/>
      <c r="D2743" s="623"/>
      <c r="E2743" s="627" t="s">
        <v>1167</v>
      </c>
      <c r="F2743" s="631" t="s">
        <v>3653</v>
      </c>
      <c r="G2743" s="661">
        <v>233</v>
      </c>
      <c r="H2743" s="633">
        <v>2810</v>
      </c>
      <c r="I2743" s="618"/>
      <c r="J2743" s="619" t="s">
        <v>1167</v>
      </c>
      <c r="K2743" s="618"/>
      <c r="L2743" s="619">
        <v>92</v>
      </c>
      <c r="M2743" s="620">
        <v>87</v>
      </c>
      <c r="N2743" s="619"/>
      <c r="O2743" s="619">
        <v>20</v>
      </c>
      <c r="P2743" s="619" t="s">
        <v>760</v>
      </c>
      <c r="Q2743" s="662"/>
      <c r="R2743" s="618"/>
      <c r="S2743" s="621" t="s">
        <v>3628</v>
      </c>
      <c r="T2743" s="619" t="s">
        <v>1169</v>
      </c>
    </row>
    <row r="2744" spans="1:20">
      <c r="A2744" s="630">
        <v>2392810</v>
      </c>
      <c r="B2744" s="623"/>
      <c r="C2744" s="623"/>
      <c r="D2744" s="623"/>
      <c r="E2744" s="627" t="s">
        <v>1170</v>
      </c>
      <c r="F2744" s="631" t="s">
        <v>3654</v>
      </c>
      <c r="G2744" s="661">
        <v>239</v>
      </c>
      <c r="H2744" s="633">
        <v>2810</v>
      </c>
      <c r="I2744" s="618"/>
      <c r="J2744" s="619" t="s">
        <v>1170</v>
      </c>
      <c r="K2744" s="618"/>
      <c r="L2744" s="619">
        <v>92</v>
      </c>
      <c r="M2744" s="620">
        <v>87</v>
      </c>
      <c r="N2744" s="619"/>
      <c r="O2744" s="619">
        <v>20</v>
      </c>
      <c r="P2744" s="619" t="s">
        <v>760</v>
      </c>
      <c r="Q2744" s="662"/>
      <c r="R2744" s="618"/>
      <c r="S2744" s="621" t="s">
        <v>3628</v>
      </c>
      <c r="T2744" s="619" t="s">
        <v>1078</v>
      </c>
    </row>
    <row r="2745" spans="1:20">
      <c r="A2745" s="630">
        <v>2502810</v>
      </c>
      <c r="B2745" s="623"/>
      <c r="C2745" s="623"/>
      <c r="D2745" s="623"/>
      <c r="E2745" s="627" t="s">
        <v>1172</v>
      </c>
      <c r="F2745" s="631" t="s">
        <v>3655</v>
      </c>
      <c r="G2745" s="661">
        <v>250</v>
      </c>
      <c r="H2745" s="633">
        <v>2810</v>
      </c>
      <c r="I2745" s="618"/>
      <c r="J2745" s="619" t="s">
        <v>1172</v>
      </c>
      <c r="K2745" s="618"/>
      <c r="L2745" s="619">
        <v>93</v>
      </c>
      <c r="M2745" s="620">
        <v>88</v>
      </c>
      <c r="N2745" s="619"/>
      <c r="O2745" s="619">
        <v>20</v>
      </c>
      <c r="P2745" s="619" t="s">
        <v>760</v>
      </c>
      <c r="Q2745" s="662"/>
      <c r="R2745" s="618"/>
      <c r="S2745" s="621" t="s">
        <v>3628</v>
      </c>
      <c r="T2745" s="619" t="s">
        <v>1079</v>
      </c>
    </row>
    <row r="2746" spans="1:20">
      <c r="A2746" s="630">
        <v>2602810</v>
      </c>
      <c r="B2746" s="623"/>
      <c r="C2746" s="623"/>
      <c r="D2746" s="623"/>
      <c r="E2746" s="627" t="s">
        <v>1174</v>
      </c>
      <c r="F2746" s="631" t="s">
        <v>3656</v>
      </c>
      <c r="G2746" s="661">
        <v>260</v>
      </c>
      <c r="H2746" s="633">
        <v>2810</v>
      </c>
      <c r="I2746" s="618"/>
      <c r="J2746" s="619" t="s">
        <v>1174</v>
      </c>
      <c r="K2746" s="618"/>
      <c r="L2746" s="619">
        <v>95</v>
      </c>
      <c r="M2746" s="620">
        <v>90</v>
      </c>
      <c r="N2746" s="619"/>
      <c r="O2746" s="619">
        <v>20</v>
      </c>
      <c r="P2746" s="619" t="s">
        <v>760</v>
      </c>
      <c r="Q2746" s="662"/>
      <c r="R2746" s="618"/>
      <c r="S2746" s="621" t="s">
        <v>3628</v>
      </c>
      <c r="T2746" s="619" t="s">
        <v>1081</v>
      </c>
    </row>
    <row r="2747" spans="1:20">
      <c r="A2747" s="630">
        <v>2702810</v>
      </c>
      <c r="B2747" s="623"/>
      <c r="C2747" s="623"/>
      <c r="D2747" s="623"/>
      <c r="E2747" s="627" t="s">
        <v>1176</v>
      </c>
      <c r="F2747" s="631" t="s">
        <v>3657</v>
      </c>
      <c r="G2747" s="661">
        <v>270</v>
      </c>
      <c r="H2747" s="633">
        <v>2810</v>
      </c>
      <c r="I2747" s="618"/>
      <c r="J2747" s="619" t="s">
        <v>1176</v>
      </c>
      <c r="K2747" s="618"/>
      <c r="L2747" s="619">
        <v>94</v>
      </c>
      <c r="M2747" s="620">
        <v>89</v>
      </c>
      <c r="N2747" s="619"/>
      <c r="O2747" s="619">
        <v>20</v>
      </c>
      <c r="P2747" s="619" t="s">
        <v>760</v>
      </c>
      <c r="Q2747" s="662"/>
      <c r="R2747" s="618"/>
      <c r="S2747" s="621" t="s">
        <v>3628</v>
      </c>
      <c r="T2747" s="619" t="s">
        <v>1083</v>
      </c>
    </row>
    <row r="2748" spans="1:20">
      <c r="A2748" s="630">
        <v>2812810</v>
      </c>
      <c r="B2748" s="623"/>
      <c r="C2748" s="623"/>
      <c r="D2748" s="623"/>
      <c r="E2748" s="627" t="s">
        <v>1178</v>
      </c>
      <c r="F2748" s="631" t="s">
        <v>3658</v>
      </c>
      <c r="G2748" s="661">
        <v>281</v>
      </c>
      <c r="H2748" s="633">
        <v>2810</v>
      </c>
      <c r="I2748" s="618"/>
      <c r="J2748" s="619" t="s">
        <v>1178</v>
      </c>
      <c r="K2748" s="618"/>
      <c r="L2748" s="619">
        <v>95</v>
      </c>
      <c r="M2748" s="620">
        <v>90</v>
      </c>
      <c r="N2748" s="619"/>
      <c r="O2748" s="619">
        <v>20</v>
      </c>
      <c r="P2748" s="619" t="s">
        <v>760</v>
      </c>
      <c r="Q2748" s="662"/>
      <c r="R2748" s="618"/>
      <c r="S2748" s="621" t="s">
        <v>3628</v>
      </c>
      <c r="T2748" s="619" t="s">
        <v>1085</v>
      </c>
    </row>
    <row r="2749" spans="1:20">
      <c r="A2749" s="630">
        <v>2822810</v>
      </c>
      <c r="B2749" s="623"/>
      <c r="C2749" s="623"/>
      <c r="D2749" s="623"/>
      <c r="E2749" s="627" t="s">
        <v>1180</v>
      </c>
      <c r="F2749" s="631" t="s">
        <v>3659</v>
      </c>
      <c r="G2749" s="661">
        <v>282</v>
      </c>
      <c r="H2749" s="633">
        <v>2810</v>
      </c>
      <c r="I2749" s="618"/>
      <c r="J2749" s="619" t="s">
        <v>1180</v>
      </c>
      <c r="K2749" s="618"/>
      <c r="L2749" s="619">
        <v>95</v>
      </c>
      <c r="M2749" s="620">
        <v>90</v>
      </c>
      <c r="N2749" s="619"/>
      <c r="O2749" s="619">
        <v>20</v>
      </c>
      <c r="P2749" s="619" t="s">
        <v>760</v>
      </c>
      <c r="Q2749" s="662"/>
      <c r="R2749" s="618"/>
      <c r="S2749" s="621" t="s">
        <v>3628</v>
      </c>
      <c r="T2749" s="619" t="s">
        <v>1087</v>
      </c>
    </row>
    <row r="2750" spans="1:20">
      <c r="A2750" s="630">
        <v>2902810</v>
      </c>
      <c r="B2750" s="623"/>
      <c r="C2750" s="623"/>
      <c r="D2750" s="623"/>
      <c r="E2750" s="627" t="s">
        <v>1182</v>
      </c>
      <c r="F2750" s="631" t="s">
        <v>3660</v>
      </c>
      <c r="G2750" s="661">
        <v>290</v>
      </c>
      <c r="H2750" s="633">
        <v>2810</v>
      </c>
      <c r="I2750" s="618"/>
      <c r="J2750" s="619" t="s">
        <v>1182</v>
      </c>
      <c r="K2750" s="618"/>
      <c r="L2750" s="619">
        <v>95</v>
      </c>
      <c r="M2750" s="620">
        <v>90</v>
      </c>
      <c r="N2750" s="619"/>
      <c r="O2750" s="619">
        <v>20</v>
      </c>
      <c r="P2750" s="619" t="s">
        <v>760</v>
      </c>
      <c r="Q2750" s="662"/>
      <c r="R2750" s="618"/>
      <c r="S2750" s="621" t="s">
        <v>3628</v>
      </c>
      <c r="T2750" s="619" t="s">
        <v>1090</v>
      </c>
    </row>
    <row r="2751" spans="1:20">
      <c r="A2751" s="622"/>
      <c r="B2751" s="623"/>
      <c r="C2751" s="629">
        <v>86</v>
      </c>
      <c r="D2751" s="784" t="s">
        <v>3661</v>
      </c>
      <c r="E2751" s="775"/>
      <c r="F2751" s="626"/>
      <c r="G2751" s="623"/>
      <c r="H2751" s="627"/>
      <c r="I2751" s="618"/>
      <c r="J2751" s="618"/>
      <c r="K2751" s="618"/>
      <c r="L2751" s="618"/>
      <c r="M2751" s="618"/>
      <c r="N2751" s="618"/>
      <c r="O2751" s="618"/>
      <c r="P2751" s="618"/>
      <c r="Q2751" s="662"/>
      <c r="R2751" s="618"/>
      <c r="S2751" s="621"/>
      <c r="T2751" s="618"/>
    </row>
    <row r="2752" spans="1:20">
      <c r="A2752" s="622"/>
      <c r="B2752" s="623"/>
      <c r="C2752" s="623"/>
      <c r="D2752" s="623" t="s">
        <v>756</v>
      </c>
      <c r="E2752" s="627" t="s">
        <v>244</v>
      </c>
      <c r="F2752" s="626"/>
      <c r="G2752" s="623"/>
      <c r="H2752" s="627"/>
      <c r="I2752" s="618"/>
      <c r="J2752" s="618"/>
      <c r="K2752" s="618"/>
      <c r="L2752" s="618"/>
      <c r="M2752" s="618"/>
      <c r="N2752" s="618"/>
      <c r="O2752" s="618"/>
      <c r="P2752" s="618"/>
      <c r="Q2752" s="662"/>
      <c r="R2752" s="618"/>
      <c r="S2752" s="621"/>
      <c r="T2752" s="618"/>
    </row>
    <row r="2753" spans="1:20">
      <c r="A2753" s="630">
        <v>1112820</v>
      </c>
      <c r="B2753" s="623"/>
      <c r="C2753" s="623"/>
      <c r="D2753" s="623"/>
      <c r="E2753" s="627" t="s">
        <v>1844</v>
      </c>
      <c r="F2753" s="631" t="s">
        <v>3662</v>
      </c>
      <c r="G2753" s="661">
        <v>111</v>
      </c>
      <c r="H2753" s="633">
        <v>2820</v>
      </c>
      <c r="I2753" s="618"/>
      <c r="J2753" s="619" t="s">
        <v>1844</v>
      </c>
      <c r="K2753" s="618"/>
      <c r="L2753" s="619">
        <v>81</v>
      </c>
      <c r="M2753" s="620">
        <v>76</v>
      </c>
      <c r="N2753" s="619"/>
      <c r="O2753" s="619">
        <v>20</v>
      </c>
      <c r="P2753" s="619" t="s">
        <v>760</v>
      </c>
      <c r="Q2753" s="662"/>
      <c r="R2753" s="618"/>
      <c r="S2753" s="621" t="s">
        <v>3661</v>
      </c>
      <c r="T2753" s="619" t="s">
        <v>1847</v>
      </c>
    </row>
    <row r="2754" spans="1:20">
      <c r="A2754" s="630">
        <v>1142820</v>
      </c>
      <c r="B2754" s="623"/>
      <c r="C2754" s="623"/>
      <c r="D2754" s="623"/>
      <c r="E2754" s="627" t="s">
        <v>3196</v>
      </c>
      <c r="F2754" s="631" t="s">
        <v>3663</v>
      </c>
      <c r="G2754" s="661">
        <v>114</v>
      </c>
      <c r="H2754" s="633">
        <v>2820</v>
      </c>
      <c r="I2754" s="618"/>
      <c r="J2754" s="619" t="s">
        <v>3196</v>
      </c>
      <c r="K2754" s="618"/>
      <c r="L2754" s="619">
        <v>84</v>
      </c>
      <c r="M2754" s="620">
        <v>79</v>
      </c>
      <c r="N2754" s="619"/>
      <c r="O2754" s="619">
        <v>20</v>
      </c>
      <c r="P2754" s="619" t="s">
        <v>760</v>
      </c>
      <c r="Q2754" s="662"/>
      <c r="R2754" s="618"/>
      <c r="S2754" s="621" t="s">
        <v>3661</v>
      </c>
      <c r="T2754" s="619" t="s">
        <v>1853</v>
      </c>
    </row>
    <row r="2755" spans="1:20">
      <c r="A2755" s="630">
        <v>1002820</v>
      </c>
      <c r="B2755" s="623"/>
      <c r="C2755" s="623"/>
      <c r="D2755" s="623"/>
      <c r="E2755" s="627" t="s">
        <v>3664</v>
      </c>
      <c r="F2755" s="631" t="s">
        <v>3665</v>
      </c>
      <c r="G2755" s="661">
        <v>100</v>
      </c>
      <c r="H2755" s="633">
        <v>2820</v>
      </c>
      <c r="I2755" s="618"/>
      <c r="J2755" s="619" t="s">
        <v>3664</v>
      </c>
      <c r="K2755" s="618"/>
      <c r="L2755" s="619">
        <v>86</v>
      </c>
      <c r="M2755" s="620">
        <v>81</v>
      </c>
      <c r="N2755" s="619"/>
      <c r="O2755" s="619">
        <v>20</v>
      </c>
      <c r="P2755" s="619" t="s">
        <v>760</v>
      </c>
      <c r="Q2755" s="662"/>
      <c r="R2755" s="618"/>
      <c r="S2755" s="621" t="s">
        <v>3661</v>
      </c>
      <c r="T2755" s="619" t="s">
        <v>3666</v>
      </c>
    </row>
    <row r="2756" spans="1:20">
      <c r="A2756" s="630">
        <v>3002820</v>
      </c>
      <c r="B2756" s="623"/>
      <c r="C2756" s="623"/>
      <c r="D2756" s="623" t="s">
        <v>775</v>
      </c>
      <c r="E2756" s="627" t="s">
        <v>1112</v>
      </c>
      <c r="F2756" s="631" t="s">
        <v>3667</v>
      </c>
      <c r="G2756" s="661">
        <v>300</v>
      </c>
      <c r="H2756" s="633">
        <v>2820</v>
      </c>
      <c r="I2756" s="618"/>
      <c r="J2756" s="619" t="s">
        <v>1112</v>
      </c>
      <c r="K2756" s="618"/>
      <c r="L2756" s="619">
        <v>101</v>
      </c>
      <c r="M2756" s="620">
        <v>96</v>
      </c>
      <c r="N2756" s="619"/>
      <c r="O2756" s="619">
        <v>20</v>
      </c>
      <c r="P2756" s="619" t="s">
        <v>760</v>
      </c>
      <c r="Q2756" s="662"/>
      <c r="R2756" s="618"/>
      <c r="S2756" s="621" t="s">
        <v>3661</v>
      </c>
      <c r="T2756" s="619" t="s">
        <v>1112</v>
      </c>
    </row>
    <row r="2757" spans="1:20">
      <c r="A2757" s="622"/>
      <c r="B2757" s="623"/>
      <c r="C2757" s="623"/>
      <c r="D2757" s="623" t="s">
        <v>799</v>
      </c>
      <c r="E2757" s="627" t="s">
        <v>250</v>
      </c>
      <c r="F2757" s="626"/>
      <c r="G2757" s="623"/>
      <c r="H2757" s="627"/>
      <c r="I2757" s="618"/>
      <c r="J2757" s="618"/>
      <c r="K2757" s="618"/>
      <c r="L2757" s="618"/>
      <c r="M2757" s="618"/>
      <c r="N2757" s="618"/>
      <c r="O2757" s="618"/>
      <c r="P2757" s="618"/>
      <c r="Q2757" s="662"/>
      <c r="R2757" s="618"/>
      <c r="S2757" s="621"/>
      <c r="T2757" s="618"/>
    </row>
    <row r="2758" spans="1:20">
      <c r="A2758" s="630">
        <v>4302820</v>
      </c>
      <c r="B2758" s="623"/>
      <c r="C2758" s="623"/>
      <c r="D2758" s="623"/>
      <c r="E2758" s="627" t="s">
        <v>1114</v>
      </c>
      <c r="F2758" s="631" t="s">
        <v>3668</v>
      </c>
      <c r="G2758" s="661">
        <v>430</v>
      </c>
      <c r="H2758" s="633">
        <v>2820</v>
      </c>
      <c r="I2758" s="618"/>
      <c r="J2758" s="619" t="s">
        <v>1114</v>
      </c>
      <c r="K2758" s="618"/>
      <c r="L2758" s="619">
        <v>107</v>
      </c>
      <c r="M2758" s="620">
        <v>102</v>
      </c>
      <c r="N2758" s="619"/>
      <c r="O2758" s="619">
        <v>20</v>
      </c>
      <c r="P2758" s="619" t="s">
        <v>760</v>
      </c>
      <c r="Q2758" s="662"/>
      <c r="R2758" s="618"/>
      <c r="S2758" s="621" t="s">
        <v>3661</v>
      </c>
      <c r="T2758" s="619" t="s">
        <v>1021</v>
      </c>
    </row>
    <row r="2759" spans="1:20">
      <c r="A2759" s="630">
        <v>4002820</v>
      </c>
      <c r="B2759" s="623"/>
      <c r="C2759" s="623"/>
      <c r="D2759" s="623"/>
      <c r="E2759" s="627" t="s">
        <v>3005</v>
      </c>
      <c r="F2759" s="631" t="s">
        <v>3669</v>
      </c>
      <c r="G2759" s="661">
        <v>400</v>
      </c>
      <c r="H2759" s="633">
        <v>2820</v>
      </c>
      <c r="I2759" s="618"/>
      <c r="J2759" s="619" t="s">
        <v>3005</v>
      </c>
      <c r="K2759" s="618"/>
      <c r="L2759" s="619">
        <v>108</v>
      </c>
      <c r="M2759" s="620">
        <v>103</v>
      </c>
      <c r="N2759" s="619"/>
      <c r="O2759" s="619">
        <v>20</v>
      </c>
      <c r="P2759" s="619" t="s">
        <v>760</v>
      </c>
      <c r="Q2759" s="662"/>
      <c r="R2759" s="618"/>
      <c r="S2759" s="621" t="s">
        <v>3661</v>
      </c>
      <c r="T2759" s="619" t="s">
        <v>1025</v>
      </c>
    </row>
    <row r="2760" spans="1:20">
      <c r="A2760" s="622"/>
      <c r="B2760" s="623"/>
      <c r="C2760" s="623"/>
      <c r="D2760" s="623" t="s">
        <v>803</v>
      </c>
      <c r="E2760" s="627" t="s">
        <v>252</v>
      </c>
      <c r="F2760" s="626"/>
      <c r="G2760" s="623"/>
      <c r="H2760" s="627"/>
      <c r="I2760" s="618"/>
      <c r="J2760" s="618"/>
      <c r="K2760" s="618"/>
      <c r="L2760" s="618"/>
      <c r="M2760" s="618"/>
      <c r="N2760" s="618"/>
      <c r="O2760" s="618"/>
      <c r="P2760" s="618"/>
      <c r="Q2760" s="662"/>
      <c r="R2760" s="618"/>
      <c r="S2760" s="621"/>
      <c r="T2760" s="618"/>
    </row>
    <row r="2761" spans="1:20">
      <c r="A2761" s="630">
        <v>5402820</v>
      </c>
      <c r="B2761" s="623"/>
      <c r="C2761" s="623"/>
      <c r="D2761" s="623"/>
      <c r="E2761" s="627" t="s">
        <v>3670</v>
      </c>
      <c r="F2761" s="631" t="s">
        <v>3671</v>
      </c>
      <c r="G2761" s="661">
        <v>540</v>
      </c>
      <c r="H2761" s="633">
        <v>2820</v>
      </c>
      <c r="I2761" s="618"/>
      <c r="J2761" s="619" t="s">
        <v>3670</v>
      </c>
      <c r="K2761" s="618"/>
      <c r="L2761" s="619">
        <v>119</v>
      </c>
      <c r="M2761" s="620">
        <v>110</v>
      </c>
      <c r="N2761" s="619"/>
      <c r="O2761" s="619">
        <v>20</v>
      </c>
      <c r="P2761" s="619" t="s">
        <v>760</v>
      </c>
      <c r="Q2761" s="662"/>
      <c r="R2761" s="618"/>
      <c r="S2761" s="621" t="s">
        <v>3661</v>
      </c>
      <c r="T2761" s="619" t="s">
        <v>3215</v>
      </c>
    </row>
    <row r="2762" spans="1:20">
      <c r="A2762" s="630">
        <v>5822820</v>
      </c>
      <c r="B2762" s="623"/>
      <c r="C2762" s="623"/>
      <c r="D2762" s="623"/>
      <c r="E2762" s="627" t="s">
        <v>1134</v>
      </c>
      <c r="F2762" s="631" t="s">
        <v>3672</v>
      </c>
      <c r="G2762" s="661">
        <v>582</v>
      </c>
      <c r="H2762" s="633">
        <v>2820</v>
      </c>
      <c r="I2762" s="618"/>
      <c r="J2762" s="619" t="s">
        <v>1134</v>
      </c>
      <c r="K2762" s="618"/>
      <c r="L2762" s="619">
        <v>118</v>
      </c>
      <c r="M2762" s="620">
        <v>109</v>
      </c>
      <c r="N2762" s="619"/>
      <c r="O2762" s="619">
        <v>20</v>
      </c>
      <c r="P2762" s="619" t="s">
        <v>760</v>
      </c>
      <c r="Q2762" s="662"/>
      <c r="R2762" s="618"/>
      <c r="S2762" s="621" t="s">
        <v>3661</v>
      </c>
      <c r="T2762" s="619" t="s">
        <v>1037</v>
      </c>
    </row>
    <row r="2763" spans="1:20">
      <c r="A2763" s="630">
        <v>5002820</v>
      </c>
      <c r="B2763" s="623"/>
      <c r="C2763" s="623"/>
      <c r="D2763" s="623"/>
      <c r="E2763" s="627" t="s">
        <v>1136</v>
      </c>
      <c r="F2763" s="631" t="s">
        <v>3673</v>
      </c>
      <c r="G2763" s="661">
        <v>500</v>
      </c>
      <c r="H2763" s="633">
        <v>2820</v>
      </c>
      <c r="I2763" s="618"/>
      <c r="J2763" s="619" t="s">
        <v>1136</v>
      </c>
      <c r="K2763" s="618"/>
      <c r="L2763" s="619">
        <v>119</v>
      </c>
      <c r="M2763" s="620">
        <v>110</v>
      </c>
      <c r="N2763" s="619"/>
      <c r="O2763" s="619">
        <v>20</v>
      </c>
      <c r="P2763" s="619" t="s">
        <v>760</v>
      </c>
      <c r="Q2763" s="662"/>
      <c r="R2763" s="618"/>
      <c r="S2763" s="621" t="s">
        <v>3661</v>
      </c>
      <c r="T2763" s="619" t="s">
        <v>252</v>
      </c>
    </row>
    <row r="2764" spans="1:20">
      <c r="A2764" s="622"/>
      <c r="B2764" s="623"/>
      <c r="C2764" s="623"/>
      <c r="D2764" s="623" t="s">
        <v>848</v>
      </c>
      <c r="E2764" s="627" t="s">
        <v>254</v>
      </c>
      <c r="F2764" s="626"/>
      <c r="G2764" s="623"/>
      <c r="H2764" s="627"/>
      <c r="I2764" s="618"/>
      <c r="J2764" s="618"/>
      <c r="K2764" s="618"/>
      <c r="L2764" s="618"/>
      <c r="M2764" s="618"/>
      <c r="N2764" s="618"/>
      <c r="O2764" s="618"/>
      <c r="P2764" s="618"/>
      <c r="Q2764" s="662"/>
      <c r="R2764" s="618"/>
      <c r="S2764" s="621"/>
      <c r="T2764" s="618"/>
    </row>
    <row r="2765" spans="1:20">
      <c r="A2765" s="630">
        <v>6152820</v>
      </c>
      <c r="B2765" s="623"/>
      <c r="C2765" s="623"/>
      <c r="D2765" s="623"/>
      <c r="E2765" s="627" t="s">
        <v>1138</v>
      </c>
      <c r="F2765" s="631" t="s">
        <v>3674</v>
      </c>
      <c r="G2765" s="661">
        <v>615</v>
      </c>
      <c r="H2765" s="633">
        <v>2820</v>
      </c>
      <c r="I2765" s="618"/>
      <c r="J2765" s="619" t="s">
        <v>1138</v>
      </c>
      <c r="K2765" s="618"/>
      <c r="L2765" s="619">
        <v>126</v>
      </c>
      <c r="M2765" s="620">
        <v>117</v>
      </c>
      <c r="N2765" s="619"/>
      <c r="O2765" s="619">
        <v>20</v>
      </c>
      <c r="P2765" s="619" t="s">
        <v>760</v>
      </c>
      <c r="Q2765" s="662" t="s">
        <v>1043</v>
      </c>
      <c r="R2765" s="618"/>
      <c r="S2765" s="621" t="s">
        <v>3661</v>
      </c>
      <c r="T2765" s="619" t="s">
        <v>1041</v>
      </c>
    </row>
    <row r="2766" spans="1:20">
      <c r="A2766" s="630">
        <v>6102820</v>
      </c>
      <c r="B2766" s="623"/>
      <c r="C2766" s="623"/>
      <c r="D2766" s="623"/>
      <c r="E2766" s="627" t="s">
        <v>1140</v>
      </c>
      <c r="F2766" s="631" t="s">
        <v>3675</v>
      </c>
      <c r="G2766" s="661">
        <v>610</v>
      </c>
      <c r="H2766" s="633">
        <v>2820</v>
      </c>
      <c r="I2766" s="618"/>
      <c r="J2766" s="619" t="s">
        <v>1140</v>
      </c>
      <c r="K2766" s="618"/>
      <c r="L2766" s="619">
        <v>122</v>
      </c>
      <c r="M2766" s="620">
        <v>113</v>
      </c>
      <c r="N2766" s="619"/>
      <c r="O2766" s="619">
        <v>20</v>
      </c>
      <c r="P2766" s="619" t="s">
        <v>760</v>
      </c>
      <c r="Q2766" s="662" t="s">
        <v>1043</v>
      </c>
      <c r="R2766" s="618"/>
      <c r="S2766" s="621" t="s">
        <v>3661</v>
      </c>
      <c r="T2766" s="619" t="s">
        <v>39</v>
      </c>
    </row>
    <row r="2767" spans="1:20">
      <c r="A2767" s="630">
        <v>6002820</v>
      </c>
      <c r="B2767" s="623"/>
      <c r="C2767" s="623"/>
      <c r="D2767" s="623"/>
      <c r="E2767" s="627" t="s">
        <v>1869</v>
      </c>
      <c r="F2767" s="631" t="s">
        <v>3676</v>
      </c>
      <c r="G2767" s="661">
        <v>600</v>
      </c>
      <c r="H2767" s="633">
        <v>2820</v>
      </c>
      <c r="I2767" s="618"/>
      <c r="J2767" s="619" t="s">
        <v>1869</v>
      </c>
      <c r="K2767" s="618"/>
      <c r="L2767" s="619">
        <v>126</v>
      </c>
      <c r="M2767" s="620">
        <v>117</v>
      </c>
      <c r="N2767" s="619"/>
      <c r="O2767" s="619">
        <v>20</v>
      </c>
      <c r="P2767" s="619" t="s">
        <v>760</v>
      </c>
      <c r="Q2767" s="662"/>
      <c r="R2767" s="618"/>
      <c r="S2767" s="621" t="s">
        <v>3661</v>
      </c>
      <c r="T2767" s="619" t="s">
        <v>1048</v>
      </c>
    </row>
    <row r="2768" spans="1:20">
      <c r="A2768" s="622"/>
      <c r="B2768" s="623"/>
      <c r="C2768" s="623"/>
      <c r="D2768" s="623" t="s">
        <v>851</v>
      </c>
      <c r="E2768" s="627" t="s">
        <v>1050</v>
      </c>
      <c r="F2768" s="626"/>
      <c r="G2768" s="623"/>
      <c r="H2768" s="627"/>
      <c r="I2768" s="618"/>
      <c r="J2768" s="618"/>
      <c r="K2768" s="618"/>
      <c r="L2768" s="618"/>
      <c r="M2768" s="618"/>
      <c r="N2768" s="618"/>
      <c r="O2768" s="618"/>
      <c r="P2768" s="618"/>
      <c r="Q2768" s="662"/>
      <c r="R2768" s="618"/>
      <c r="S2768" s="621"/>
      <c r="T2768" s="618"/>
    </row>
    <row r="2769" spans="1:20">
      <c r="A2769" s="630">
        <v>7342820</v>
      </c>
      <c r="B2769" s="623"/>
      <c r="C2769" s="623"/>
      <c r="D2769" s="623"/>
      <c r="E2769" s="627" t="s">
        <v>1146</v>
      </c>
      <c r="F2769" s="631" t="s">
        <v>3677</v>
      </c>
      <c r="G2769" s="661">
        <v>734</v>
      </c>
      <c r="H2769" s="633">
        <v>2820</v>
      </c>
      <c r="I2769" s="618"/>
      <c r="J2769" s="619" t="s">
        <v>1146</v>
      </c>
      <c r="K2769" s="618"/>
      <c r="L2769" s="619">
        <v>131</v>
      </c>
      <c r="M2769" s="620">
        <v>122</v>
      </c>
      <c r="N2769" s="619"/>
      <c r="O2769" s="619">
        <v>20</v>
      </c>
      <c r="P2769" s="619" t="s">
        <v>760</v>
      </c>
      <c r="Q2769" s="662"/>
      <c r="R2769" s="618"/>
      <c r="S2769" s="621" t="s">
        <v>3661</v>
      </c>
      <c r="T2769" s="619" t="s">
        <v>1051</v>
      </c>
    </row>
    <row r="2770" spans="1:20">
      <c r="A2770" s="630">
        <v>7352820</v>
      </c>
      <c r="B2770" s="623"/>
      <c r="C2770" s="623"/>
      <c r="D2770" s="623"/>
      <c r="E2770" s="627" t="s">
        <v>1148</v>
      </c>
      <c r="F2770" s="631" t="s">
        <v>3678</v>
      </c>
      <c r="G2770" s="661">
        <v>735</v>
      </c>
      <c r="H2770" s="633">
        <v>2820</v>
      </c>
      <c r="I2770" s="618"/>
      <c r="J2770" s="619" t="s">
        <v>1148</v>
      </c>
      <c r="K2770" s="618"/>
      <c r="L2770" s="619">
        <v>131</v>
      </c>
      <c r="M2770" s="620">
        <v>122</v>
      </c>
      <c r="N2770" s="619"/>
      <c r="O2770" s="619">
        <v>20</v>
      </c>
      <c r="P2770" s="619" t="s">
        <v>760</v>
      </c>
      <c r="Q2770" s="662"/>
      <c r="R2770" s="618"/>
      <c r="S2770" s="621" t="s">
        <v>3661</v>
      </c>
      <c r="T2770" s="619" t="s">
        <v>1053</v>
      </c>
    </row>
    <row r="2771" spans="1:20">
      <c r="A2771" s="630">
        <v>7302820</v>
      </c>
      <c r="B2771" s="623"/>
      <c r="C2771" s="623"/>
      <c r="D2771" s="623"/>
      <c r="E2771" s="627" t="s">
        <v>1150</v>
      </c>
      <c r="F2771" s="631" t="s">
        <v>3679</v>
      </c>
      <c r="G2771" s="661">
        <v>730</v>
      </c>
      <c r="H2771" s="633">
        <v>2820</v>
      </c>
      <c r="I2771" s="618"/>
      <c r="J2771" s="619" t="s">
        <v>1150</v>
      </c>
      <c r="K2771" s="618"/>
      <c r="L2771" s="619">
        <v>131</v>
      </c>
      <c r="M2771" s="620">
        <v>122</v>
      </c>
      <c r="N2771" s="619"/>
      <c r="O2771" s="619">
        <v>20</v>
      </c>
      <c r="P2771" s="619" t="s">
        <v>760</v>
      </c>
      <c r="Q2771" s="662"/>
      <c r="R2771" s="618"/>
      <c r="S2771" s="621" t="s">
        <v>3661</v>
      </c>
      <c r="T2771" s="619" t="s">
        <v>1055</v>
      </c>
    </row>
    <row r="2772" spans="1:20">
      <c r="A2772" s="630">
        <v>7002820</v>
      </c>
      <c r="B2772" s="623"/>
      <c r="C2772" s="623"/>
      <c r="D2772" s="623"/>
      <c r="E2772" s="627" t="s">
        <v>1152</v>
      </c>
      <c r="F2772" s="631" t="s">
        <v>3680</v>
      </c>
      <c r="G2772" s="661">
        <v>700</v>
      </c>
      <c r="H2772" s="633">
        <v>2820</v>
      </c>
      <c r="I2772" s="618"/>
      <c r="J2772" s="619" t="s">
        <v>1152</v>
      </c>
      <c r="K2772" s="618"/>
      <c r="L2772" s="619">
        <v>132</v>
      </c>
      <c r="M2772" s="620">
        <v>123</v>
      </c>
      <c r="N2772" s="619"/>
      <c r="O2772" s="619">
        <v>20</v>
      </c>
      <c r="P2772" s="619" t="s">
        <v>760</v>
      </c>
      <c r="Q2772" s="662"/>
      <c r="R2772" s="618"/>
      <c r="S2772" s="621" t="s">
        <v>3661</v>
      </c>
      <c r="T2772" s="619" t="s">
        <v>1057</v>
      </c>
    </row>
    <row r="2773" spans="1:20">
      <c r="A2773" s="622"/>
      <c r="B2773" s="623"/>
      <c r="C2773" s="623"/>
      <c r="D2773" s="623" t="s">
        <v>854</v>
      </c>
      <c r="E2773" s="627" t="s">
        <v>256</v>
      </c>
      <c r="F2773" s="626"/>
      <c r="G2773" s="623"/>
      <c r="H2773" s="627"/>
      <c r="I2773" s="618"/>
      <c r="J2773" s="618"/>
      <c r="K2773" s="618"/>
      <c r="L2773" s="618"/>
      <c r="M2773" s="618"/>
      <c r="N2773" s="618"/>
      <c r="O2773" s="618"/>
      <c r="P2773" s="618"/>
      <c r="Q2773" s="662"/>
      <c r="R2773" s="618"/>
      <c r="S2773" s="621"/>
      <c r="T2773" s="618"/>
    </row>
    <row r="2774" spans="1:20">
      <c r="A2774" s="630">
        <v>8952820</v>
      </c>
      <c r="B2774" s="623"/>
      <c r="C2774" s="623"/>
      <c r="D2774" s="623"/>
      <c r="E2774" s="627" t="s">
        <v>1154</v>
      </c>
      <c r="F2774" s="631" t="s">
        <v>3681</v>
      </c>
      <c r="G2774" s="661">
        <v>895</v>
      </c>
      <c r="H2774" s="633">
        <v>2820</v>
      </c>
      <c r="I2774" s="618"/>
      <c r="J2774" s="619" t="s">
        <v>1154</v>
      </c>
      <c r="K2774" s="618"/>
      <c r="L2774" s="619">
        <v>139</v>
      </c>
      <c r="M2774" s="620">
        <v>129</v>
      </c>
      <c r="N2774" s="619"/>
      <c r="O2774" s="619">
        <v>20</v>
      </c>
      <c r="P2774" s="619" t="s">
        <v>760</v>
      </c>
      <c r="Q2774" s="662"/>
      <c r="R2774" s="618"/>
      <c r="S2774" s="621" t="s">
        <v>3661</v>
      </c>
      <c r="T2774" s="619" t="s">
        <v>1059</v>
      </c>
    </row>
    <row r="2775" spans="1:20">
      <c r="A2775" s="630">
        <v>8002820</v>
      </c>
      <c r="B2775" s="623"/>
      <c r="C2775" s="623"/>
      <c r="D2775" s="623"/>
      <c r="E2775" s="627" t="s">
        <v>1156</v>
      </c>
      <c r="F2775" s="631" t="s">
        <v>3682</v>
      </c>
      <c r="G2775" s="661">
        <v>800</v>
      </c>
      <c r="H2775" s="633">
        <v>2820</v>
      </c>
      <c r="I2775" s="618"/>
      <c r="J2775" s="619" t="s">
        <v>1156</v>
      </c>
      <c r="K2775" s="618"/>
      <c r="L2775" s="619">
        <v>139</v>
      </c>
      <c r="M2775" s="620">
        <v>129</v>
      </c>
      <c r="N2775" s="619"/>
      <c r="O2775" s="619">
        <v>20</v>
      </c>
      <c r="P2775" s="619" t="s">
        <v>760</v>
      </c>
      <c r="Q2775" s="662"/>
      <c r="R2775" s="618"/>
      <c r="S2775" s="621" t="s">
        <v>3661</v>
      </c>
      <c r="T2775" s="619" t="s">
        <v>1061</v>
      </c>
    </row>
    <row r="2776" spans="1:20">
      <c r="A2776" s="622"/>
      <c r="B2776" s="623"/>
      <c r="C2776" s="623"/>
      <c r="D2776" s="623" t="s">
        <v>857</v>
      </c>
      <c r="E2776" s="627" t="s">
        <v>3683</v>
      </c>
      <c r="F2776" s="626"/>
      <c r="G2776" s="623"/>
      <c r="H2776" s="627"/>
      <c r="I2776" s="618"/>
      <c r="J2776" s="618"/>
      <c r="K2776" s="618"/>
      <c r="L2776" s="618"/>
      <c r="M2776" s="618"/>
      <c r="N2776" s="618"/>
      <c r="O2776" s="618"/>
      <c r="P2776" s="618"/>
      <c r="Q2776" s="662"/>
      <c r="R2776" s="618"/>
      <c r="S2776" s="621"/>
      <c r="T2776" s="618"/>
    </row>
    <row r="2777" spans="1:20">
      <c r="A2777" s="630">
        <v>2102820</v>
      </c>
      <c r="B2777" s="623"/>
      <c r="C2777" s="623"/>
      <c r="D2777" s="623"/>
      <c r="E2777" s="627" t="s">
        <v>1158</v>
      </c>
      <c r="F2777" s="631" t="s">
        <v>3684</v>
      </c>
      <c r="G2777" s="661">
        <v>210</v>
      </c>
      <c r="H2777" s="633">
        <v>2820</v>
      </c>
      <c r="I2777" s="618"/>
      <c r="J2777" s="619" t="s">
        <v>1158</v>
      </c>
      <c r="K2777" s="618"/>
      <c r="L2777" s="619">
        <v>89</v>
      </c>
      <c r="M2777" s="620">
        <v>84</v>
      </c>
      <c r="N2777" s="619"/>
      <c r="O2777" s="619">
        <v>20</v>
      </c>
      <c r="P2777" s="619" t="s">
        <v>760</v>
      </c>
      <c r="Q2777" s="662"/>
      <c r="R2777" s="618"/>
      <c r="S2777" s="621" t="s">
        <v>3661</v>
      </c>
      <c r="T2777" s="619" t="s">
        <v>1064</v>
      </c>
    </row>
    <row r="2778" spans="1:20">
      <c r="A2778" s="630">
        <v>2202820</v>
      </c>
      <c r="B2778" s="623"/>
      <c r="C2778" s="623"/>
      <c r="D2778" s="623"/>
      <c r="E2778" s="627" t="s">
        <v>1160</v>
      </c>
      <c r="F2778" s="631" t="s">
        <v>3685</v>
      </c>
      <c r="G2778" s="661">
        <v>220</v>
      </c>
      <c r="H2778" s="633">
        <v>2820</v>
      </c>
      <c r="I2778" s="618"/>
      <c r="J2778" s="619" t="s">
        <v>1160</v>
      </c>
      <c r="K2778" s="618"/>
      <c r="L2778" s="619">
        <v>90</v>
      </c>
      <c r="M2778" s="620">
        <v>85</v>
      </c>
      <c r="N2778" s="619"/>
      <c r="O2778" s="619">
        <v>20</v>
      </c>
      <c r="P2778" s="619" t="s">
        <v>760</v>
      </c>
      <c r="Q2778" s="662"/>
      <c r="R2778" s="618"/>
      <c r="S2778" s="621" t="s">
        <v>3661</v>
      </c>
      <c r="T2778" s="619" t="s">
        <v>1066</v>
      </c>
    </row>
    <row r="2779" spans="1:20">
      <c r="A2779" s="630">
        <v>2252820</v>
      </c>
      <c r="B2779" s="623"/>
      <c r="C2779" s="623"/>
      <c r="D2779" s="623"/>
      <c r="E2779" s="627" t="s">
        <v>1162</v>
      </c>
      <c r="F2779" s="631" t="s">
        <v>3686</v>
      </c>
      <c r="G2779" s="661">
        <v>225</v>
      </c>
      <c r="H2779" s="633">
        <v>2820</v>
      </c>
      <c r="I2779" s="618"/>
      <c r="J2779" s="619" t="s">
        <v>1162</v>
      </c>
      <c r="K2779" s="618"/>
      <c r="L2779" s="619">
        <v>91</v>
      </c>
      <c r="M2779" s="620">
        <v>86</v>
      </c>
      <c r="N2779" s="619"/>
      <c r="O2779" s="619">
        <v>20</v>
      </c>
      <c r="P2779" s="619" t="s">
        <v>760</v>
      </c>
      <c r="Q2779" s="662"/>
      <c r="R2779" s="618"/>
      <c r="S2779" s="621" t="s">
        <v>3661</v>
      </c>
      <c r="T2779" s="619" t="s">
        <v>23</v>
      </c>
    </row>
    <row r="2780" spans="1:20">
      <c r="A2780" s="622"/>
      <c r="B2780" s="623"/>
      <c r="C2780" s="623"/>
      <c r="D2780" s="623"/>
      <c r="E2780" s="627" t="s">
        <v>1164</v>
      </c>
      <c r="F2780" s="626"/>
      <c r="G2780" s="623"/>
      <c r="H2780" s="627"/>
      <c r="I2780" s="618"/>
      <c r="J2780" s="618"/>
      <c r="K2780" s="618"/>
      <c r="L2780" s="618"/>
      <c r="M2780" s="618"/>
      <c r="N2780" s="618"/>
      <c r="O2780" s="618"/>
      <c r="P2780" s="618"/>
      <c r="Q2780" s="662"/>
      <c r="R2780" s="618"/>
      <c r="S2780" s="621"/>
      <c r="T2780" s="618"/>
    </row>
    <row r="2781" spans="1:20">
      <c r="A2781" s="630">
        <v>2312820</v>
      </c>
      <c r="B2781" s="623"/>
      <c r="C2781" s="623"/>
      <c r="D2781" s="623"/>
      <c r="E2781" s="627" t="s">
        <v>1165</v>
      </c>
      <c r="F2781" s="631" t="s">
        <v>3687</v>
      </c>
      <c r="G2781" s="661">
        <v>231</v>
      </c>
      <c r="H2781" s="633">
        <v>2820</v>
      </c>
      <c r="I2781" s="618"/>
      <c r="J2781" s="619" t="s">
        <v>1165</v>
      </c>
      <c r="K2781" s="618"/>
      <c r="L2781" s="619">
        <v>92</v>
      </c>
      <c r="M2781" s="620">
        <v>87</v>
      </c>
      <c r="N2781" s="619"/>
      <c r="O2781" s="619">
        <v>20</v>
      </c>
      <c r="P2781" s="619" t="s">
        <v>760</v>
      </c>
      <c r="Q2781" s="662"/>
      <c r="R2781" s="618"/>
      <c r="S2781" s="621" t="s">
        <v>3661</v>
      </c>
      <c r="T2781" s="619" t="s">
        <v>1072</v>
      </c>
    </row>
    <row r="2782" spans="1:20">
      <c r="A2782" s="630">
        <v>2332820</v>
      </c>
      <c r="B2782" s="623"/>
      <c r="C2782" s="623"/>
      <c r="D2782" s="623"/>
      <c r="E2782" s="627" t="s">
        <v>1167</v>
      </c>
      <c r="F2782" s="631" t="s">
        <v>3688</v>
      </c>
      <c r="G2782" s="661">
        <v>233</v>
      </c>
      <c r="H2782" s="633">
        <v>2820</v>
      </c>
      <c r="I2782" s="618"/>
      <c r="J2782" s="619" t="s">
        <v>1167</v>
      </c>
      <c r="K2782" s="618"/>
      <c r="L2782" s="619">
        <v>92</v>
      </c>
      <c r="M2782" s="620">
        <v>87</v>
      </c>
      <c r="N2782" s="619"/>
      <c r="O2782" s="619">
        <v>20</v>
      </c>
      <c r="P2782" s="619" t="s">
        <v>760</v>
      </c>
      <c r="Q2782" s="662"/>
      <c r="R2782" s="618"/>
      <c r="S2782" s="621" t="s">
        <v>3661</v>
      </c>
      <c r="T2782" s="619" t="s">
        <v>1169</v>
      </c>
    </row>
    <row r="2783" spans="1:20">
      <c r="A2783" s="630">
        <v>2392820</v>
      </c>
      <c r="B2783" s="623"/>
      <c r="C2783" s="623"/>
      <c r="D2783" s="623"/>
      <c r="E2783" s="627" t="s">
        <v>1170</v>
      </c>
      <c r="F2783" s="631" t="s">
        <v>3689</v>
      </c>
      <c r="G2783" s="661">
        <v>239</v>
      </c>
      <c r="H2783" s="633">
        <v>2820</v>
      </c>
      <c r="I2783" s="618"/>
      <c r="J2783" s="619" t="s">
        <v>1170</v>
      </c>
      <c r="K2783" s="618"/>
      <c r="L2783" s="619">
        <v>92</v>
      </c>
      <c r="M2783" s="620">
        <v>87</v>
      </c>
      <c r="N2783" s="619"/>
      <c r="O2783" s="619">
        <v>20</v>
      </c>
      <c r="P2783" s="619" t="s">
        <v>760</v>
      </c>
      <c r="Q2783" s="662"/>
      <c r="R2783" s="618"/>
      <c r="S2783" s="621" t="s">
        <v>3661</v>
      </c>
      <c r="T2783" s="619" t="s">
        <v>1078</v>
      </c>
    </row>
    <row r="2784" spans="1:20">
      <c r="A2784" s="630">
        <v>2502820</v>
      </c>
      <c r="B2784" s="623"/>
      <c r="C2784" s="623"/>
      <c r="D2784" s="623"/>
      <c r="E2784" s="627" t="s">
        <v>1172</v>
      </c>
      <c r="F2784" s="631" t="s">
        <v>3690</v>
      </c>
      <c r="G2784" s="661">
        <v>250</v>
      </c>
      <c r="H2784" s="633">
        <v>2820</v>
      </c>
      <c r="I2784" s="618"/>
      <c r="J2784" s="619" t="s">
        <v>1172</v>
      </c>
      <c r="K2784" s="618"/>
      <c r="L2784" s="619">
        <v>93</v>
      </c>
      <c r="M2784" s="620">
        <v>88</v>
      </c>
      <c r="N2784" s="619"/>
      <c r="O2784" s="619">
        <v>20</v>
      </c>
      <c r="P2784" s="619" t="s">
        <v>760</v>
      </c>
      <c r="Q2784" s="662"/>
      <c r="R2784" s="618"/>
      <c r="S2784" s="621" t="s">
        <v>3661</v>
      </c>
      <c r="T2784" s="619" t="s">
        <v>1079</v>
      </c>
    </row>
    <row r="2785" spans="1:20">
      <c r="A2785" s="630">
        <v>2602820</v>
      </c>
      <c r="B2785" s="623"/>
      <c r="C2785" s="623"/>
      <c r="D2785" s="623"/>
      <c r="E2785" s="627" t="s">
        <v>1174</v>
      </c>
      <c r="F2785" s="631" t="s">
        <v>3691</v>
      </c>
      <c r="G2785" s="661">
        <v>260</v>
      </c>
      <c r="H2785" s="633">
        <v>2820</v>
      </c>
      <c r="I2785" s="618"/>
      <c r="J2785" s="619" t="s">
        <v>1174</v>
      </c>
      <c r="K2785" s="618"/>
      <c r="L2785" s="619">
        <v>95</v>
      </c>
      <c r="M2785" s="620">
        <v>90</v>
      </c>
      <c r="N2785" s="619"/>
      <c r="O2785" s="619">
        <v>20</v>
      </c>
      <c r="P2785" s="619" t="s">
        <v>760</v>
      </c>
      <c r="Q2785" s="662"/>
      <c r="R2785" s="618"/>
      <c r="S2785" s="621" t="s">
        <v>3661</v>
      </c>
      <c r="T2785" s="619" t="s">
        <v>1081</v>
      </c>
    </row>
    <row r="2786" spans="1:20">
      <c r="A2786" s="630">
        <v>2702820</v>
      </c>
      <c r="B2786" s="623"/>
      <c r="C2786" s="623"/>
      <c r="D2786" s="623"/>
      <c r="E2786" s="627" t="s">
        <v>1176</v>
      </c>
      <c r="F2786" s="631" t="s">
        <v>3692</v>
      </c>
      <c r="G2786" s="661">
        <v>270</v>
      </c>
      <c r="H2786" s="633">
        <v>2820</v>
      </c>
      <c r="I2786" s="618"/>
      <c r="J2786" s="619" t="s">
        <v>1176</v>
      </c>
      <c r="K2786" s="618"/>
      <c r="L2786" s="619">
        <v>94</v>
      </c>
      <c r="M2786" s="620">
        <v>89</v>
      </c>
      <c r="N2786" s="619"/>
      <c r="O2786" s="619">
        <v>20</v>
      </c>
      <c r="P2786" s="619" t="s">
        <v>760</v>
      </c>
      <c r="Q2786" s="662"/>
      <c r="R2786" s="618"/>
      <c r="S2786" s="621" t="s">
        <v>3661</v>
      </c>
      <c r="T2786" s="619" t="s">
        <v>1083</v>
      </c>
    </row>
    <row r="2787" spans="1:20">
      <c r="A2787" s="630">
        <v>2812820</v>
      </c>
      <c r="B2787" s="623"/>
      <c r="C2787" s="623"/>
      <c r="D2787" s="623"/>
      <c r="E2787" s="627" t="s">
        <v>1178</v>
      </c>
      <c r="F2787" s="631" t="s">
        <v>3693</v>
      </c>
      <c r="G2787" s="661">
        <v>281</v>
      </c>
      <c r="H2787" s="633">
        <v>2820</v>
      </c>
      <c r="I2787" s="618"/>
      <c r="J2787" s="619" t="s">
        <v>1178</v>
      </c>
      <c r="K2787" s="618"/>
      <c r="L2787" s="619">
        <v>95</v>
      </c>
      <c r="M2787" s="620">
        <v>90</v>
      </c>
      <c r="N2787" s="619"/>
      <c r="O2787" s="619">
        <v>20</v>
      </c>
      <c r="P2787" s="619" t="s">
        <v>760</v>
      </c>
      <c r="Q2787" s="662"/>
      <c r="R2787" s="618"/>
      <c r="S2787" s="621" t="s">
        <v>3661</v>
      </c>
      <c r="T2787" s="619" t="s">
        <v>1085</v>
      </c>
    </row>
    <row r="2788" spans="1:20">
      <c r="A2788" s="630">
        <v>2822820</v>
      </c>
      <c r="B2788" s="623"/>
      <c r="C2788" s="623"/>
      <c r="D2788" s="623"/>
      <c r="E2788" s="627" t="s">
        <v>1180</v>
      </c>
      <c r="F2788" s="631" t="s">
        <v>3694</v>
      </c>
      <c r="G2788" s="661">
        <v>282</v>
      </c>
      <c r="H2788" s="633">
        <v>2820</v>
      </c>
      <c r="I2788" s="618"/>
      <c r="J2788" s="619" t="s">
        <v>1180</v>
      </c>
      <c r="K2788" s="618"/>
      <c r="L2788" s="619">
        <v>95</v>
      </c>
      <c r="M2788" s="620">
        <v>90</v>
      </c>
      <c r="N2788" s="619"/>
      <c r="O2788" s="619">
        <v>20</v>
      </c>
      <c r="P2788" s="619" t="s">
        <v>760</v>
      </c>
      <c r="Q2788" s="662"/>
      <c r="R2788" s="618"/>
      <c r="S2788" s="621" t="s">
        <v>3661</v>
      </c>
      <c r="T2788" s="619" t="s">
        <v>1087</v>
      </c>
    </row>
    <row r="2789" spans="1:20">
      <c r="A2789" s="630">
        <v>2902820</v>
      </c>
      <c r="B2789" s="623"/>
      <c r="C2789" s="623"/>
      <c r="D2789" s="623"/>
      <c r="E2789" s="627" t="s">
        <v>1182</v>
      </c>
      <c r="F2789" s="631" t="s">
        <v>3695</v>
      </c>
      <c r="G2789" s="661">
        <v>290</v>
      </c>
      <c r="H2789" s="633">
        <v>2820</v>
      </c>
      <c r="I2789" s="618"/>
      <c r="J2789" s="619" t="s">
        <v>1182</v>
      </c>
      <c r="K2789" s="618"/>
      <c r="L2789" s="619">
        <v>95</v>
      </c>
      <c r="M2789" s="620">
        <v>90</v>
      </c>
      <c r="N2789" s="619"/>
      <c r="O2789" s="619">
        <v>20</v>
      </c>
      <c r="P2789" s="619" t="s">
        <v>760</v>
      </c>
      <c r="Q2789" s="662"/>
      <c r="R2789" s="618"/>
      <c r="S2789" s="621" t="s">
        <v>3661</v>
      </c>
      <c r="T2789" s="619" t="s">
        <v>1090</v>
      </c>
    </row>
    <row r="2790" spans="1:20">
      <c r="A2790" s="622"/>
      <c r="B2790" s="623"/>
      <c r="C2790" s="629">
        <v>87</v>
      </c>
      <c r="D2790" s="784" t="s">
        <v>3696</v>
      </c>
      <c r="E2790" s="775"/>
      <c r="F2790" s="626"/>
      <c r="G2790" s="623"/>
      <c r="H2790" s="627"/>
      <c r="I2790" s="618"/>
      <c r="J2790" s="618"/>
      <c r="K2790" s="618"/>
      <c r="L2790" s="618"/>
      <c r="M2790" s="618"/>
      <c r="N2790" s="618"/>
      <c r="O2790" s="618"/>
      <c r="P2790" s="618"/>
      <c r="Q2790" s="662"/>
      <c r="R2790" s="618"/>
      <c r="S2790" s="621"/>
      <c r="T2790" s="618"/>
    </row>
    <row r="2791" spans="1:20">
      <c r="A2791" s="622"/>
      <c r="B2791" s="623"/>
      <c r="C2791" s="623"/>
      <c r="D2791" s="623" t="s">
        <v>756</v>
      </c>
      <c r="E2791" s="627" t="s">
        <v>244</v>
      </c>
      <c r="F2791" s="626"/>
      <c r="G2791" s="623"/>
      <c r="H2791" s="627"/>
      <c r="I2791" s="618"/>
      <c r="J2791" s="618"/>
      <c r="K2791" s="618"/>
      <c r="L2791" s="618"/>
      <c r="M2791" s="618"/>
      <c r="N2791" s="618"/>
      <c r="O2791" s="618"/>
      <c r="P2791" s="618"/>
      <c r="Q2791" s="662"/>
      <c r="R2791" s="618"/>
      <c r="S2791" s="621"/>
      <c r="T2791" s="618"/>
    </row>
    <row r="2792" spans="1:20">
      <c r="A2792" s="630">
        <v>1112831</v>
      </c>
      <c r="B2792" s="623"/>
      <c r="C2792" s="623"/>
      <c r="D2792" s="623"/>
      <c r="E2792" s="627" t="s">
        <v>3697</v>
      </c>
      <c r="F2792" s="631" t="s">
        <v>3698</v>
      </c>
      <c r="G2792" s="661">
        <v>111</v>
      </c>
      <c r="H2792" s="633">
        <v>2831</v>
      </c>
      <c r="I2792" s="618"/>
      <c r="J2792" s="619" t="s">
        <v>3697</v>
      </c>
      <c r="K2792" s="618"/>
      <c r="L2792" s="619">
        <v>81</v>
      </c>
      <c r="M2792" s="620">
        <v>76</v>
      </c>
      <c r="N2792" s="619"/>
      <c r="O2792" s="619">
        <v>20</v>
      </c>
      <c r="P2792" s="619" t="s">
        <v>760</v>
      </c>
      <c r="Q2792" s="662"/>
      <c r="R2792" s="618"/>
      <c r="S2792" s="621" t="s">
        <v>3699</v>
      </c>
      <c r="T2792" s="619" t="s">
        <v>3700</v>
      </c>
    </row>
    <row r="2793" spans="1:20">
      <c r="A2793" s="630">
        <v>1112830</v>
      </c>
      <c r="B2793" s="623"/>
      <c r="C2793" s="623"/>
      <c r="D2793" s="623"/>
      <c r="E2793" s="627" t="s">
        <v>3701</v>
      </c>
      <c r="F2793" s="631" t="s">
        <v>3702</v>
      </c>
      <c r="G2793" s="661">
        <v>111</v>
      </c>
      <c r="H2793" s="633">
        <v>2830</v>
      </c>
      <c r="I2793" s="618"/>
      <c r="J2793" s="619" t="s">
        <v>3701</v>
      </c>
      <c r="K2793" s="618"/>
      <c r="L2793" s="619">
        <v>81</v>
      </c>
      <c r="M2793" s="620">
        <v>76</v>
      </c>
      <c r="N2793" s="619"/>
      <c r="O2793" s="619">
        <v>20</v>
      </c>
      <c r="P2793" s="619" t="s">
        <v>760</v>
      </c>
      <c r="Q2793" s="662"/>
      <c r="R2793" s="618"/>
      <c r="S2793" s="621" t="s">
        <v>3699</v>
      </c>
      <c r="T2793" s="619" t="s">
        <v>3703</v>
      </c>
    </row>
    <row r="2794" spans="1:20">
      <c r="A2794" s="630">
        <v>1102832</v>
      </c>
      <c r="B2794" s="623"/>
      <c r="C2794" s="623"/>
      <c r="D2794" s="623"/>
      <c r="E2794" s="627" t="s">
        <v>3704</v>
      </c>
      <c r="F2794" s="631" t="s">
        <v>3705</v>
      </c>
      <c r="G2794" s="661">
        <v>110</v>
      </c>
      <c r="H2794" s="633">
        <v>2832</v>
      </c>
      <c r="I2794" s="618"/>
      <c r="J2794" s="619" t="s">
        <v>3704</v>
      </c>
      <c r="K2794" s="618"/>
      <c r="L2794" s="619">
        <v>86</v>
      </c>
      <c r="M2794" s="620">
        <v>81</v>
      </c>
      <c r="N2794" s="619"/>
      <c r="O2794" s="619">
        <v>20</v>
      </c>
      <c r="P2794" s="619" t="s">
        <v>760</v>
      </c>
      <c r="Q2794" s="662"/>
      <c r="R2794" s="618"/>
      <c r="S2794" s="621" t="s">
        <v>3699</v>
      </c>
      <c r="T2794" s="619" t="s">
        <v>3706</v>
      </c>
    </row>
    <row r="2795" spans="1:20">
      <c r="A2795" s="630">
        <v>1142830</v>
      </c>
      <c r="B2795" s="623"/>
      <c r="C2795" s="623"/>
      <c r="D2795" s="623"/>
      <c r="E2795" s="627" t="s">
        <v>3707</v>
      </c>
      <c r="F2795" s="631" t="s">
        <v>3708</v>
      </c>
      <c r="G2795" s="661">
        <v>114</v>
      </c>
      <c r="H2795" s="633">
        <v>2830</v>
      </c>
      <c r="I2795" s="618"/>
      <c r="J2795" s="619" t="s">
        <v>3707</v>
      </c>
      <c r="K2795" s="618"/>
      <c r="L2795" s="619">
        <v>84</v>
      </c>
      <c r="M2795" s="620">
        <v>79</v>
      </c>
      <c r="N2795" s="619"/>
      <c r="O2795" s="619">
        <v>20</v>
      </c>
      <c r="P2795" s="619" t="s">
        <v>760</v>
      </c>
      <c r="Q2795" s="662"/>
      <c r="R2795" s="618"/>
      <c r="S2795" s="621" t="s">
        <v>3699</v>
      </c>
      <c r="T2795" s="619" t="s">
        <v>1853</v>
      </c>
    </row>
    <row r="2796" spans="1:20">
      <c r="A2796" s="630">
        <v>1182830</v>
      </c>
      <c r="B2796" s="623"/>
      <c r="C2796" s="623"/>
      <c r="D2796" s="623"/>
      <c r="E2796" s="627" t="s">
        <v>3709</v>
      </c>
      <c r="F2796" s="631" t="s">
        <v>3710</v>
      </c>
      <c r="G2796" s="661">
        <v>118</v>
      </c>
      <c r="H2796" s="633">
        <v>2830</v>
      </c>
      <c r="I2796" s="618"/>
      <c r="J2796" s="619" t="s">
        <v>3709</v>
      </c>
      <c r="K2796" s="618"/>
      <c r="L2796" s="619">
        <v>86</v>
      </c>
      <c r="M2796" s="620">
        <v>81</v>
      </c>
      <c r="N2796" s="619"/>
      <c r="O2796" s="619">
        <v>20</v>
      </c>
      <c r="P2796" s="619" t="s">
        <v>760</v>
      </c>
      <c r="Q2796" s="662"/>
      <c r="R2796" s="618"/>
      <c r="S2796" s="621" t="s">
        <v>3699</v>
      </c>
      <c r="T2796" s="619" t="s">
        <v>3711</v>
      </c>
    </row>
    <row r="2797" spans="1:20">
      <c r="A2797" s="630">
        <v>1002830</v>
      </c>
      <c r="B2797" s="623"/>
      <c r="C2797" s="623"/>
      <c r="D2797" s="623"/>
      <c r="E2797" s="627" t="s">
        <v>3712</v>
      </c>
      <c r="F2797" s="631" t="s">
        <v>3713</v>
      </c>
      <c r="G2797" s="661">
        <v>100</v>
      </c>
      <c r="H2797" s="633">
        <v>2830</v>
      </c>
      <c r="I2797" s="618"/>
      <c r="J2797" s="619" t="s">
        <v>3712</v>
      </c>
      <c r="K2797" s="618"/>
      <c r="L2797" s="619">
        <v>86</v>
      </c>
      <c r="M2797" s="620">
        <v>81</v>
      </c>
      <c r="N2797" s="619"/>
      <c r="O2797" s="619">
        <v>20</v>
      </c>
      <c r="P2797" s="619" t="s">
        <v>760</v>
      </c>
      <c r="Q2797" s="662"/>
      <c r="R2797" s="618"/>
      <c r="S2797" s="621" t="s">
        <v>3699</v>
      </c>
      <c r="T2797" s="619" t="s">
        <v>3714</v>
      </c>
    </row>
    <row r="2798" spans="1:20">
      <c r="A2798" s="622"/>
      <c r="B2798" s="623"/>
      <c r="C2798" s="623"/>
      <c r="D2798" s="623" t="s">
        <v>775</v>
      </c>
      <c r="E2798" s="627" t="s">
        <v>1112</v>
      </c>
      <c r="F2798" s="626"/>
      <c r="G2798" s="623"/>
      <c r="H2798" s="627"/>
      <c r="I2798" s="618"/>
      <c r="J2798" s="618"/>
      <c r="K2798" s="618"/>
      <c r="L2798" s="618"/>
      <c r="M2798" s="618"/>
      <c r="N2798" s="618"/>
      <c r="O2798" s="618"/>
      <c r="P2798" s="618"/>
      <c r="Q2798" s="662"/>
      <c r="R2798" s="618"/>
      <c r="S2798" s="621"/>
      <c r="T2798" s="618"/>
    </row>
    <row r="2799" spans="1:20">
      <c r="A2799" s="630">
        <v>3392830</v>
      </c>
      <c r="B2799" s="623"/>
      <c r="C2799" s="623"/>
      <c r="D2799" s="623"/>
      <c r="E2799" s="627" t="s">
        <v>3715</v>
      </c>
      <c r="F2799" s="631" t="s">
        <v>3716</v>
      </c>
      <c r="G2799" s="661">
        <v>339</v>
      </c>
      <c r="H2799" s="633">
        <v>2830</v>
      </c>
      <c r="I2799" s="618"/>
      <c r="J2799" s="619" t="s">
        <v>3715</v>
      </c>
      <c r="K2799" s="618"/>
      <c r="L2799" s="619">
        <v>101</v>
      </c>
      <c r="M2799" s="620">
        <v>96</v>
      </c>
      <c r="N2799" s="619"/>
      <c r="O2799" s="619">
        <v>20</v>
      </c>
      <c r="P2799" s="619" t="s">
        <v>760</v>
      </c>
      <c r="Q2799" s="662"/>
      <c r="R2799" s="618"/>
      <c r="S2799" s="621" t="s">
        <v>3699</v>
      </c>
      <c r="T2799" s="619" t="s">
        <v>3717</v>
      </c>
    </row>
    <row r="2800" spans="1:20">
      <c r="A2800" s="630">
        <v>3002830</v>
      </c>
      <c r="B2800" s="623"/>
      <c r="C2800" s="623"/>
      <c r="D2800" s="623"/>
      <c r="E2800" s="627" t="s">
        <v>3207</v>
      </c>
      <c r="F2800" s="631" t="s">
        <v>3718</v>
      </c>
      <c r="G2800" s="661">
        <v>300</v>
      </c>
      <c r="H2800" s="633">
        <v>2830</v>
      </c>
      <c r="I2800" s="618"/>
      <c r="J2800" s="619" t="s">
        <v>3207</v>
      </c>
      <c r="K2800" s="618"/>
      <c r="L2800" s="619">
        <v>101</v>
      </c>
      <c r="M2800" s="620">
        <v>96</v>
      </c>
      <c r="N2800" s="619"/>
      <c r="O2800" s="619">
        <v>20</v>
      </c>
      <c r="P2800" s="619" t="s">
        <v>760</v>
      </c>
      <c r="Q2800" s="662"/>
      <c r="R2800" s="618"/>
      <c r="S2800" s="621" t="s">
        <v>3699</v>
      </c>
      <c r="T2800" s="619" t="s">
        <v>3003</v>
      </c>
    </row>
    <row r="2801" spans="1:20">
      <c r="A2801" s="622"/>
      <c r="B2801" s="623"/>
      <c r="C2801" s="623"/>
      <c r="D2801" s="623" t="s">
        <v>799</v>
      </c>
      <c r="E2801" s="627" t="s">
        <v>250</v>
      </c>
      <c r="F2801" s="626"/>
      <c r="G2801" s="623"/>
      <c r="H2801" s="627"/>
      <c r="I2801" s="618"/>
      <c r="J2801" s="618"/>
      <c r="K2801" s="618"/>
      <c r="L2801" s="618"/>
      <c r="M2801" s="618"/>
      <c r="N2801" s="618"/>
      <c r="O2801" s="618"/>
      <c r="P2801" s="618"/>
      <c r="Q2801" s="662"/>
      <c r="R2801" s="618"/>
      <c r="S2801" s="621"/>
      <c r="T2801" s="618"/>
    </row>
    <row r="2802" spans="1:20">
      <c r="A2802" s="630">
        <v>4302830</v>
      </c>
      <c r="B2802" s="623"/>
      <c r="C2802" s="623"/>
      <c r="D2802" s="623"/>
      <c r="E2802" s="627" t="s">
        <v>1114</v>
      </c>
      <c r="F2802" s="631" t="s">
        <v>3719</v>
      </c>
      <c r="G2802" s="661">
        <v>430</v>
      </c>
      <c r="H2802" s="633">
        <v>2830</v>
      </c>
      <c r="I2802" s="618"/>
      <c r="J2802" s="619" t="s">
        <v>1114</v>
      </c>
      <c r="K2802" s="618"/>
      <c r="L2802" s="619">
        <v>107</v>
      </c>
      <c r="M2802" s="620">
        <v>102</v>
      </c>
      <c r="N2802" s="619"/>
      <c r="O2802" s="619">
        <v>20</v>
      </c>
      <c r="P2802" s="619" t="s">
        <v>760</v>
      </c>
      <c r="Q2802" s="662"/>
      <c r="R2802" s="618"/>
      <c r="S2802" s="621" t="s">
        <v>3699</v>
      </c>
      <c r="T2802" s="619" t="s">
        <v>1021</v>
      </c>
    </row>
    <row r="2803" spans="1:20">
      <c r="A2803" s="630">
        <v>4002830</v>
      </c>
      <c r="B2803" s="623"/>
      <c r="C2803" s="623"/>
      <c r="D2803" s="623"/>
      <c r="E2803" s="627" t="s">
        <v>3005</v>
      </c>
      <c r="F2803" s="631" t="s">
        <v>3720</v>
      </c>
      <c r="G2803" s="661">
        <v>400</v>
      </c>
      <c r="H2803" s="633">
        <v>2830</v>
      </c>
      <c r="I2803" s="618"/>
      <c r="J2803" s="619" t="s">
        <v>3005</v>
      </c>
      <c r="K2803" s="618"/>
      <c r="L2803" s="619">
        <v>108</v>
      </c>
      <c r="M2803" s="620">
        <v>103</v>
      </c>
      <c r="N2803" s="619"/>
      <c r="O2803" s="619">
        <v>20</v>
      </c>
      <c r="P2803" s="619" t="s">
        <v>760</v>
      </c>
      <c r="Q2803" s="662"/>
      <c r="R2803" s="618"/>
      <c r="S2803" s="621" t="s">
        <v>3699</v>
      </c>
      <c r="T2803" s="619" t="s">
        <v>1025</v>
      </c>
    </row>
    <row r="2804" spans="1:20">
      <c r="A2804" s="622"/>
      <c r="B2804" s="623"/>
      <c r="C2804" s="623"/>
      <c r="D2804" s="623" t="s">
        <v>803</v>
      </c>
      <c r="E2804" s="627" t="s">
        <v>252</v>
      </c>
      <c r="F2804" s="626"/>
      <c r="G2804" s="623"/>
      <c r="H2804" s="627"/>
      <c r="I2804" s="618"/>
      <c r="J2804" s="618"/>
      <c r="K2804" s="618"/>
      <c r="L2804" s="618"/>
      <c r="M2804" s="618"/>
      <c r="N2804" s="618"/>
      <c r="O2804" s="618"/>
      <c r="P2804" s="618"/>
      <c r="Q2804" s="662"/>
      <c r="R2804" s="618"/>
      <c r="S2804" s="621"/>
      <c r="T2804" s="618"/>
    </row>
    <row r="2805" spans="1:20">
      <c r="A2805" s="630">
        <v>5402830</v>
      </c>
      <c r="B2805" s="623"/>
      <c r="C2805" s="623"/>
      <c r="D2805" s="623"/>
      <c r="E2805" s="627" t="s">
        <v>3670</v>
      </c>
      <c r="F2805" s="631" t="s">
        <v>3721</v>
      </c>
      <c r="G2805" s="661">
        <v>540</v>
      </c>
      <c r="H2805" s="633">
        <v>2830</v>
      </c>
      <c r="I2805" s="618"/>
      <c r="J2805" s="619" t="s">
        <v>3670</v>
      </c>
      <c r="K2805" s="618"/>
      <c r="L2805" s="619">
        <v>119</v>
      </c>
      <c r="M2805" s="620">
        <v>110</v>
      </c>
      <c r="N2805" s="619"/>
      <c r="O2805" s="619">
        <v>20</v>
      </c>
      <c r="P2805" s="619" t="s">
        <v>760</v>
      </c>
      <c r="Q2805" s="662"/>
      <c r="R2805" s="618"/>
      <c r="S2805" s="621" t="s">
        <v>3699</v>
      </c>
      <c r="T2805" s="619" t="s">
        <v>3215</v>
      </c>
    </row>
    <row r="2806" spans="1:20">
      <c r="A2806" s="630">
        <v>5822830</v>
      </c>
      <c r="B2806" s="623"/>
      <c r="C2806" s="623"/>
      <c r="D2806" s="623"/>
      <c r="E2806" s="627" t="s">
        <v>1134</v>
      </c>
      <c r="F2806" s="631" t="s">
        <v>3722</v>
      </c>
      <c r="G2806" s="661">
        <v>582</v>
      </c>
      <c r="H2806" s="633">
        <v>2830</v>
      </c>
      <c r="I2806" s="618"/>
      <c r="J2806" s="619" t="s">
        <v>1134</v>
      </c>
      <c r="K2806" s="618"/>
      <c r="L2806" s="619">
        <v>118</v>
      </c>
      <c r="M2806" s="620">
        <v>109</v>
      </c>
      <c r="N2806" s="619"/>
      <c r="O2806" s="619">
        <v>20</v>
      </c>
      <c r="P2806" s="619" t="s">
        <v>760</v>
      </c>
      <c r="Q2806" s="662"/>
      <c r="R2806" s="618"/>
      <c r="S2806" s="621" t="s">
        <v>3699</v>
      </c>
      <c r="T2806" s="619" t="s">
        <v>1037</v>
      </c>
    </row>
    <row r="2807" spans="1:20">
      <c r="A2807" s="630">
        <v>5002830</v>
      </c>
      <c r="B2807" s="623"/>
      <c r="C2807" s="623"/>
      <c r="D2807" s="623"/>
      <c r="E2807" s="627" t="s">
        <v>1136</v>
      </c>
      <c r="F2807" s="631" t="s">
        <v>3723</v>
      </c>
      <c r="G2807" s="661">
        <v>500</v>
      </c>
      <c r="H2807" s="633">
        <v>2830</v>
      </c>
      <c r="I2807" s="618"/>
      <c r="J2807" s="619" t="s">
        <v>1136</v>
      </c>
      <c r="K2807" s="618"/>
      <c r="L2807" s="619">
        <v>119</v>
      </c>
      <c r="M2807" s="620">
        <v>110</v>
      </c>
      <c r="N2807" s="619"/>
      <c r="O2807" s="619">
        <v>20</v>
      </c>
      <c r="P2807" s="619" t="s">
        <v>760</v>
      </c>
      <c r="Q2807" s="662"/>
      <c r="R2807" s="618"/>
      <c r="S2807" s="621" t="s">
        <v>3699</v>
      </c>
      <c r="T2807" s="619" t="s">
        <v>252</v>
      </c>
    </row>
    <row r="2808" spans="1:20">
      <c r="A2808" s="622"/>
      <c r="B2808" s="623"/>
      <c r="C2808" s="623"/>
      <c r="D2808" s="623" t="s">
        <v>848</v>
      </c>
      <c r="E2808" s="627" t="s">
        <v>254</v>
      </c>
      <c r="F2808" s="626"/>
      <c r="G2808" s="623"/>
      <c r="H2808" s="627"/>
      <c r="I2808" s="618"/>
      <c r="J2808" s="618"/>
      <c r="K2808" s="618"/>
      <c r="L2808" s="618"/>
      <c r="M2808" s="618"/>
      <c r="N2808" s="618"/>
      <c r="O2808" s="618"/>
      <c r="P2808" s="618"/>
      <c r="Q2808" s="662"/>
      <c r="R2808" s="618"/>
      <c r="S2808" s="621"/>
      <c r="T2808" s="618"/>
    </row>
    <row r="2809" spans="1:20">
      <c r="A2809" s="630">
        <v>6152830</v>
      </c>
      <c r="B2809" s="623"/>
      <c r="C2809" s="623"/>
      <c r="D2809" s="623"/>
      <c r="E2809" s="627" t="s">
        <v>1138</v>
      </c>
      <c r="F2809" s="631" t="s">
        <v>3724</v>
      </c>
      <c r="G2809" s="661">
        <v>615</v>
      </c>
      <c r="H2809" s="633">
        <v>2830</v>
      </c>
      <c r="I2809" s="618"/>
      <c r="J2809" s="619" t="s">
        <v>1138</v>
      </c>
      <c r="K2809" s="618"/>
      <c r="L2809" s="619">
        <v>126</v>
      </c>
      <c r="M2809" s="620">
        <v>117</v>
      </c>
      <c r="N2809" s="619"/>
      <c r="O2809" s="619">
        <v>20</v>
      </c>
      <c r="P2809" s="619" t="s">
        <v>760</v>
      </c>
      <c r="Q2809" s="662" t="s">
        <v>1043</v>
      </c>
      <c r="R2809" s="618"/>
      <c r="S2809" s="621" t="s">
        <v>3699</v>
      </c>
      <c r="T2809" s="619" t="s">
        <v>1041</v>
      </c>
    </row>
    <row r="2810" spans="1:20">
      <c r="A2810" s="630">
        <v>6102830</v>
      </c>
      <c r="B2810" s="623"/>
      <c r="C2810" s="623"/>
      <c r="D2810" s="623"/>
      <c r="E2810" s="627" t="s">
        <v>1140</v>
      </c>
      <c r="F2810" s="631" t="s">
        <v>3725</v>
      </c>
      <c r="G2810" s="661">
        <v>610</v>
      </c>
      <c r="H2810" s="633">
        <v>2830</v>
      </c>
      <c r="I2810" s="618"/>
      <c r="J2810" s="619" t="s">
        <v>1140</v>
      </c>
      <c r="K2810" s="618"/>
      <c r="L2810" s="619">
        <v>122</v>
      </c>
      <c r="M2810" s="620">
        <v>113</v>
      </c>
      <c r="N2810" s="619"/>
      <c r="O2810" s="619">
        <v>20</v>
      </c>
      <c r="P2810" s="619" t="s">
        <v>760</v>
      </c>
      <c r="Q2810" s="662" t="s">
        <v>1043</v>
      </c>
      <c r="R2810" s="618"/>
      <c r="S2810" s="621" t="s">
        <v>3699</v>
      </c>
      <c r="T2810" s="619" t="s">
        <v>39</v>
      </c>
    </row>
    <row r="2811" spans="1:20">
      <c r="A2811" s="630">
        <v>6002830</v>
      </c>
      <c r="B2811" s="623"/>
      <c r="C2811" s="623"/>
      <c r="D2811" s="623"/>
      <c r="E2811" s="627" t="s">
        <v>1869</v>
      </c>
      <c r="F2811" s="631" t="s">
        <v>3726</v>
      </c>
      <c r="G2811" s="661">
        <v>600</v>
      </c>
      <c r="H2811" s="633">
        <v>2830</v>
      </c>
      <c r="I2811" s="618"/>
      <c r="J2811" s="619" t="s">
        <v>1869</v>
      </c>
      <c r="K2811" s="618"/>
      <c r="L2811" s="619">
        <v>126</v>
      </c>
      <c r="M2811" s="620">
        <v>117</v>
      </c>
      <c r="N2811" s="619"/>
      <c r="O2811" s="619">
        <v>20</v>
      </c>
      <c r="P2811" s="619" t="s">
        <v>760</v>
      </c>
      <c r="Q2811" s="662"/>
      <c r="R2811" s="618"/>
      <c r="S2811" s="621" t="s">
        <v>3699</v>
      </c>
      <c r="T2811" s="619" t="s">
        <v>1048</v>
      </c>
    </row>
    <row r="2812" spans="1:20">
      <c r="A2812" s="622"/>
      <c r="B2812" s="623"/>
      <c r="C2812" s="623"/>
      <c r="D2812" s="623" t="s">
        <v>851</v>
      </c>
      <c r="E2812" s="627" t="s">
        <v>1050</v>
      </c>
      <c r="F2812" s="626"/>
      <c r="G2812" s="623"/>
      <c r="H2812" s="627"/>
      <c r="I2812" s="618"/>
      <c r="J2812" s="618"/>
      <c r="K2812" s="618"/>
      <c r="L2812" s="618"/>
      <c r="M2812" s="618"/>
      <c r="N2812" s="618"/>
      <c r="O2812" s="618"/>
      <c r="P2812" s="618"/>
      <c r="Q2812" s="662"/>
      <c r="R2812" s="618"/>
      <c r="S2812" s="621"/>
      <c r="T2812" s="618"/>
    </row>
    <row r="2813" spans="1:20">
      <c r="A2813" s="630">
        <v>7342830</v>
      </c>
      <c r="B2813" s="623"/>
      <c r="C2813" s="623"/>
      <c r="D2813" s="623"/>
      <c r="E2813" s="627" t="s">
        <v>1146</v>
      </c>
      <c r="F2813" s="631" t="s">
        <v>3727</v>
      </c>
      <c r="G2813" s="661">
        <v>734</v>
      </c>
      <c r="H2813" s="633">
        <v>2830</v>
      </c>
      <c r="I2813" s="618"/>
      <c r="J2813" s="619" t="s">
        <v>1146</v>
      </c>
      <c r="K2813" s="618"/>
      <c r="L2813" s="619">
        <v>131</v>
      </c>
      <c r="M2813" s="620">
        <v>122</v>
      </c>
      <c r="N2813" s="619"/>
      <c r="O2813" s="619">
        <v>20</v>
      </c>
      <c r="P2813" s="619" t="s">
        <v>760</v>
      </c>
      <c r="Q2813" s="662"/>
      <c r="R2813" s="618"/>
      <c r="S2813" s="621" t="s">
        <v>3699</v>
      </c>
      <c r="T2813" s="619" t="s">
        <v>1051</v>
      </c>
    </row>
    <row r="2814" spans="1:20">
      <c r="A2814" s="630">
        <v>7352830</v>
      </c>
      <c r="B2814" s="623"/>
      <c r="C2814" s="623"/>
      <c r="D2814" s="623"/>
      <c r="E2814" s="627" t="s">
        <v>1148</v>
      </c>
      <c r="F2814" s="631" t="s">
        <v>3728</v>
      </c>
      <c r="G2814" s="661">
        <v>735</v>
      </c>
      <c r="H2814" s="633">
        <v>2830</v>
      </c>
      <c r="I2814" s="618"/>
      <c r="J2814" s="619" t="s">
        <v>1148</v>
      </c>
      <c r="K2814" s="618"/>
      <c r="L2814" s="619">
        <v>131</v>
      </c>
      <c r="M2814" s="620">
        <v>122</v>
      </c>
      <c r="N2814" s="619"/>
      <c r="O2814" s="619">
        <v>20</v>
      </c>
      <c r="P2814" s="619" t="s">
        <v>760</v>
      </c>
      <c r="Q2814" s="662"/>
      <c r="R2814" s="618"/>
      <c r="S2814" s="621" t="s">
        <v>3699</v>
      </c>
      <c r="T2814" s="619" t="s">
        <v>1053</v>
      </c>
    </row>
    <row r="2815" spans="1:20">
      <c r="A2815" s="630">
        <v>7302830</v>
      </c>
      <c r="B2815" s="623"/>
      <c r="C2815" s="623"/>
      <c r="D2815" s="623"/>
      <c r="E2815" s="627" t="s">
        <v>1150</v>
      </c>
      <c r="F2815" s="631" t="s">
        <v>3729</v>
      </c>
      <c r="G2815" s="661">
        <v>730</v>
      </c>
      <c r="H2815" s="633">
        <v>2830</v>
      </c>
      <c r="I2815" s="618"/>
      <c r="J2815" s="619" t="s">
        <v>1150</v>
      </c>
      <c r="K2815" s="618"/>
      <c r="L2815" s="619">
        <v>131</v>
      </c>
      <c r="M2815" s="620">
        <v>122</v>
      </c>
      <c r="N2815" s="619"/>
      <c r="O2815" s="619">
        <v>20</v>
      </c>
      <c r="P2815" s="619" t="s">
        <v>760</v>
      </c>
      <c r="Q2815" s="662"/>
      <c r="R2815" s="618"/>
      <c r="S2815" s="621" t="s">
        <v>3699</v>
      </c>
      <c r="T2815" s="619" t="s">
        <v>1055</v>
      </c>
    </row>
    <row r="2816" spans="1:20">
      <c r="A2816" s="630">
        <v>7002830</v>
      </c>
      <c r="B2816" s="623"/>
      <c r="C2816" s="623"/>
      <c r="D2816" s="623"/>
      <c r="E2816" s="627" t="s">
        <v>1152</v>
      </c>
      <c r="F2816" s="631" t="s">
        <v>3730</v>
      </c>
      <c r="G2816" s="661">
        <v>700</v>
      </c>
      <c r="H2816" s="633">
        <v>2830</v>
      </c>
      <c r="I2816" s="618"/>
      <c r="J2816" s="619" t="s">
        <v>1152</v>
      </c>
      <c r="K2816" s="618"/>
      <c r="L2816" s="619">
        <v>132</v>
      </c>
      <c r="M2816" s="620">
        <v>123</v>
      </c>
      <c r="N2816" s="619"/>
      <c r="O2816" s="619">
        <v>20</v>
      </c>
      <c r="P2816" s="619" t="s">
        <v>760</v>
      </c>
      <c r="Q2816" s="662"/>
      <c r="R2816" s="618"/>
      <c r="S2816" s="621" t="s">
        <v>3699</v>
      </c>
      <c r="T2816" s="619" t="s">
        <v>1057</v>
      </c>
    </row>
    <row r="2817" spans="1:20">
      <c r="A2817" s="622"/>
      <c r="B2817" s="623"/>
      <c r="C2817" s="623"/>
      <c r="D2817" s="623" t="s">
        <v>854</v>
      </c>
      <c r="E2817" s="627" t="s">
        <v>256</v>
      </c>
      <c r="F2817" s="626"/>
      <c r="G2817" s="623"/>
      <c r="H2817" s="627"/>
      <c r="I2817" s="618"/>
      <c r="J2817" s="618"/>
      <c r="K2817" s="618"/>
      <c r="L2817" s="618"/>
      <c r="M2817" s="618"/>
      <c r="N2817" s="618"/>
      <c r="O2817" s="618"/>
      <c r="P2817" s="618"/>
      <c r="Q2817" s="662"/>
      <c r="R2817" s="618"/>
      <c r="S2817" s="621"/>
      <c r="T2817" s="618"/>
    </row>
    <row r="2818" spans="1:20">
      <c r="A2818" s="630">
        <v>8952830</v>
      </c>
      <c r="B2818" s="623"/>
      <c r="C2818" s="623"/>
      <c r="D2818" s="623"/>
      <c r="E2818" s="627" t="s">
        <v>1154</v>
      </c>
      <c r="F2818" s="631" t="s">
        <v>3731</v>
      </c>
      <c r="G2818" s="661">
        <v>895</v>
      </c>
      <c r="H2818" s="633">
        <v>2830</v>
      </c>
      <c r="I2818" s="618"/>
      <c r="J2818" s="619" t="s">
        <v>1154</v>
      </c>
      <c r="K2818" s="618"/>
      <c r="L2818" s="619">
        <v>139</v>
      </c>
      <c r="M2818" s="620">
        <v>129</v>
      </c>
      <c r="N2818" s="619"/>
      <c r="O2818" s="619">
        <v>20</v>
      </c>
      <c r="P2818" s="619" t="s">
        <v>760</v>
      </c>
      <c r="Q2818" s="662"/>
      <c r="R2818" s="618"/>
      <c r="S2818" s="621" t="s">
        <v>3699</v>
      </c>
      <c r="T2818" s="619" t="s">
        <v>1059</v>
      </c>
    </row>
    <row r="2819" spans="1:20">
      <c r="A2819" s="630">
        <v>8002830</v>
      </c>
      <c r="B2819" s="623"/>
      <c r="C2819" s="623"/>
      <c r="D2819" s="623"/>
      <c r="E2819" s="627" t="s">
        <v>1156</v>
      </c>
      <c r="F2819" s="631" t="s">
        <v>3732</v>
      </c>
      <c r="G2819" s="661">
        <v>800</v>
      </c>
      <c r="H2819" s="633">
        <v>2830</v>
      </c>
      <c r="I2819" s="618"/>
      <c r="J2819" s="619" t="s">
        <v>1156</v>
      </c>
      <c r="K2819" s="618"/>
      <c r="L2819" s="619">
        <v>139</v>
      </c>
      <c r="M2819" s="620">
        <v>129</v>
      </c>
      <c r="N2819" s="619"/>
      <c r="O2819" s="619">
        <v>20</v>
      </c>
      <c r="P2819" s="619" t="s">
        <v>760</v>
      </c>
      <c r="Q2819" s="662"/>
      <c r="R2819" s="618"/>
      <c r="S2819" s="621" t="s">
        <v>3699</v>
      </c>
      <c r="T2819" s="619" t="s">
        <v>1061</v>
      </c>
    </row>
    <row r="2820" spans="1:20">
      <c r="A2820" s="622"/>
      <c r="B2820" s="623"/>
      <c r="C2820" s="623"/>
      <c r="D2820" s="623" t="s">
        <v>857</v>
      </c>
      <c r="E2820" s="627" t="s">
        <v>3733</v>
      </c>
      <c r="F2820" s="626"/>
      <c r="G2820" s="623"/>
      <c r="H2820" s="627"/>
      <c r="I2820" s="618"/>
      <c r="J2820" s="618"/>
      <c r="K2820" s="618"/>
      <c r="L2820" s="618"/>
      <c r="M2820" s="618"/>
      <c r="N2820" s="618"/>
      <c r="O2820" s="618"/>
      <c r="P2820" s="618"/>
      <c r="Q2820" s="662"/>
      <c r="R2820" s="618"/>
      <c r="S2820" s="621"/>
      <c r="T2820" s="618"/>
    </row>
    <row r="2821" spans="1:20">
      <c r="A2821" s="630">
        <v>2102830</v>
      </c>
      <c r="B2821" s="623"/>
      <c r="C2821" s="623"/>
      <c r="D2821" s="623"/>
      <c r="E2821" s="627" t="s">
        <v>1158</v>
      </c>
      <c r="F2821" s="631" t="s">
        <v>3734</v>
      </c>
      <c r="G2821" s="661">
        <v>210</v>
      </c>
      <c r="H2821" s="633">
        <v>2830</v>
      </c>
      <c r="I2821" s="618"/>
      <c r="J2821" s="619" t="s">
        <v>1158</v>
      </c>
      <c r="K2821" s="618"/>
      <c r="L2821" s="619">
        <v>89</v>
      </c>
      <c r="M2821" s="620">
        <v>84</v>
      </c>
      <c r="N2821" s="619"/>
      <c r="O2821" s="619">
        <v>20</v>
      </c>
      <c r="P2821" s="619" t="s">
        <v>760</v>
      </c>
      <c r="Q2821" s="662"/>
      <c r="R2821" s="618"/>
      <c r="S2821" s="621" t="s">
        <v>3699</v>
      </c>
      <c r="T2821" s="619" t="s">
        <v>1064</v>
      </c>
    </row>
    <row r="2822" spans="1:20">
      <c r="A2822" s="630">
        <v>2202830</v>
      </c>
      <c r="B2822" s="623"/>
      <c r="C2822" s="623"/>
      <c r="D2822" s="623"/>
      <c r="E2822" s="627" t="s">
        <v>1160</v>
      </c>
      <c r="F2822" s="631" t="s">
        <v>3735</v>
      </c>
      <c r="G2822" s="661">
        <v>220</v>
      </c>
      <c r="H2822" s="633">
        <v>2830</v>
      </c>
      <c r="I2822" s="618"/>
      <c r="J2822" s="619" t="s">
        <v>1160</v>
      </c>
      <c r="K2822" s="618"/>
      <c r="L2822" s="619">
        <v>90</v>
      </c>
      <c r="M2822" s="620">
        <v>85</v>
      </c>
      <c r="N2822" s="619"/>
      <c r="O2822" s="619">
        <v>20</v>
      </c>
      <c r="P2822" s="619" t="s">
        <v>760</v>
      </c>
      <c r="Q2822" s="662"/>
      <c r="R2822" s="618"/>
      <c r="S2822" s="621" t="s">
        <v>3699</v>
      </c>
      <c r="T2822" s="619" t="s">
        <v>1066</v>
      </c>
    </row>
    <row r="2823" spans="1:20">
      <c r="A2823" s="630">
        <v>2252830</v>
      </c>
      <c r="B2823" s="623"/>
      <c r="C2823" s="623"/>
      <c r="D2823" s="623"/>
      <c r="E2823" s="627" t="s">
        <v>1162</v>
      </c>
      <c r="F2823" s="631" t="s">
        <v>3736</v>
      </c>
      <c r="G2823" s="661">
        <v>225</v>
      </c>
      <c r="H2823" s="633">
        <v>2830</v>
      </c>
      <c r="I2823" s="618"/>
      <c r="J2823" s="619" t="s">
        <v>1162</v>
      </c>
      <c r="K2823" s="618"/>
      <c r="L2823" s="619">
        <v>91</v>
      </c>
      <c r="M2823" s="620">
        <v>86</v>
      </c>
      <c r="N2823" s="619"/>
      <c r="O2823" s="619">
        <v>20</v>
      </c>
      <c r="P2823" s="619" t="s">
        <v>760</v>
      </c>
      <c r="Q2823" s="662"/>
      <c r="R2823" s="618"/>
      <c r="S2823" s="621" t="s">
        <v>3699</v>
      </c>
      <c r="T2823" s="619" t="s">
        <v>23</v>
      </c>
    </row>
    <row r="2824" spans="1:20">
      <c r="A2824" s="622"/>
      <c r="B2824" s="623"/>
      <c r="C2824" s="623"/>
      <c r="D2824" s="623"/>
      <c r="E2824" s="627" t="s">
        <v>1164</v>
      </c>
      <c r="F2824" s="626"/>
      <c r="G2824" s="623"/>
      <c r="H2824" s="627"/>
      <c r="I2824" s="618"/>
      <c r="J2824" s="618"/>
      <c r="K2824" s="618"/>
      <c r="L2824" s="618"/>
      <c r="M2824" s="618"/>
      <c r="N2824" s="618"/>
      <c r="O2824" s="618"/>
      <c r="P2824" s="618"/>
      <c r="Q2824" s="662"/>
      <c r="R2824" s="618"/>
      <c r="S2824" s="621"/>
      <c r="T2824" s="618"/>
    </row>
    <row r="2825" spans="1:20">
      <c r="A2825" s="630">
        <v>2312830</v>
      </c>
      <c r="B2825" s="623"/>
      <c r="C2825" s="623"/>
      <c r="D2825" s="623"/>
      <c r="E2825" s="627" t="s">
        <v>1165</v>
      </c>
      <c r="F2825" s="631" t="s">
        <v>3737</v>
      </c>
      <c r="G2825" s="661">
        <v>231</v>
      </c>
      <c r="H2825" s="633">
        <v>2830</v>
      </c>
      <c r="I2825" s="618"/>
      <c r="J2825" s="619" t="s">
        <v>1165</v>
      </c>
      <c r="K2825" s="618"/>
      <c r="L2825" s="619">
        <v>92</v>
      </c>
      <c r="M2825" s="620">
        <v>87</v>
      </c>
      <c r="N2825" s="619"/>
      <c r="O2825" s="619">
        <v>20</v>
      </c>
      <c r="P2825" s="619" t="s">
        <v>760</v>
      </c>
      <c r="Q2825" s="662"/>
      <c r="R2825" s="618"/>
      <c r="S2825" s="621" t="s">
        <v>3699</v>
      </c>
      <c r="T2825" s="619" t="s">
        <v>1072</v>
      </c>
    </row>
    <row r="2826" spans="1:20">
      <c r="A2826" s="630">
        <v>2332830</v>
      </c>
      <c r="B2826" s="623"/>
      <c r="C2826" s="623"/>
      <c r="D2826" s="623"/>
      <c r="E2826" s="627" t="s">
        <v>1167</v>
      </c>
      <c r="F2826" s="631" t="s">
        <v>3738</v>
      </c>
      <c r="G2826" s="661">
        <v>233</v>
      </c>
      <c r="H2826" s="633">
        <v>2830</v>
      </c>
      <c r="I2826" s="618"/>
      <c r="J2826" s="619" t="s">
        <v>1167</v>
      </c>
      <c r="K2826" s="618"/>
      <c r="L2826" s="619">
        <v>92</v>
      </c>
      <c r="M2826" s="620">
        <v>87</v>
      </c>
      <c r="N2826" s="619"/>
      <c r="O2826" s="619">
        <v>20</v>
      </c>
      <c r="P2826" s="619" t="s">
        <v>760</v>
      </c>
      <c r="Q2826" s="662"/>
      <c r="R2826" s="618"/>
      <c r="S2826" s="621" t="s">
        <v>3699</v>
      </c>
      <c r="T2826" s="619" t="s">
        <v>1169</v>
      </c>
    </row>
    <row r="2827" spans="1:20">
      <c r="A2827" s="630">
        <v>2392830</v>
      </c>
      <c r="B2827" s="623"/>
      <c r="C2827" s="623"/>
      <c r="D2827" s="623"/>
      <c r="E2827" s="627" t="s">
        <v>1170</v>
      </c>
      <c r="F2827" s="631" t="s">
        <v>3739</v>
      </c>
      <c r="G2827" s="661">
        <v>239</v>
      </c>
      <c r="H2827" s="633">
        <v>2830</v>
      </c>
      <c r="I2827" s="618"/>
      <c r="J2827" s="619" t="s">
        <v>1170</v>
      </c>
      <c r="K2827" s="618"/>
      <c r="L2827" s="619">
        <v>92</v>
      </c>
      <c r="M2827" s="620">
        <v>87</v>
      </c>
      <c r="N2827" s="619"/>
      <c r="O2827" s="619">
        <v>20</v>
      </c>
      <c r="P2827" s="619" t="s">
        <v>760</v>
      </c>
      <c r="Q2827" s="662"/>
      <c r="R2827" s="618"/>
      <c r="S2827" s="621" t="s">
        <v>3699</v>
      </c>
      <c r="T2827" s="619" t="s">
        <v>1078</v>
      </c>
    </row>
    <row r="2828" spans="1:20">
      <c r="A2828" s="630">
        <v>2502830</v>
      </c>
      <c r="B2828" s="623"/>
      <c r="C2828" s="623"/>
      <c r="D2828" s="623"/>
      <c r="E2828" s="627" t="s">
        <v>1172</v>
      </c>
      <c r="F2828" s="631" t="s">
        <v>3740</v>
      </c>
      <c r="G2828" s="661">
        <v>250</v>
      </c>
      <c r="H2828" s="633">
        <v>2830</v>
      </c>
      <c r="I2828" s="618"/>
      <c r="J2828" s="619" t="s">
        <v>1172</v>
      </c>
      <c r="K2828" s="618"/>
      <c r="L2828" s="619">
        <v>93</v>
      </c>
      <c r="M2828" s="620">
        <v>88</v>
      </c>
      <c r="N2828" s="619"/>
      <c r="O2828" s="619">
        <v>20</v>
      </c>
      <c r="P2828" s="619" t="s">
        <v>760</v>
      </c>
      <c r="Q2828" s="662"/>
      <c r="R2828" s="618"/>
      <c r="S2828" s="621" t="s">
        <v>3699</v>
      </c>
      <c r="T2828" s="619" t="s">
        <v>1079</v>
      </c>
    </row>
    <row r="2829" spans="1:20">
      <c r="A2829" s="630">
        <v>2602830</v>
      </c>
      <c r="B2829" s="623"/>
      <c r="C2829" s="623"/>
      <c r="D2829" s="623"/>
      <c r="E2829" s="627" t="s">
        <v>1174</v>
      </c>
      <c r="F2829" s="631" t="s">
        <v>3741</v>
      </c>
      <c r="G2829" s="661">
        <v>260</v>
      </c>
      <c r="H2829" s="633">
        <v>2830</v>
      </c>
      <c r="I2829" s="618"/>
      <c r="J2829" s="619" t="s">
        <v>1174</v>
      </c>
      <c r="K2829" s="618"/>
      <c r="L2829" s="619">
        <v>95</v>
      </c>
      <c r="M2829" s="620">
        <v>90</v>
      </c>
      <c r="N2829" s="619"/>
      <c r="O2829" s="619">
        <v>20</v>
      </c>
      <c r="P2829" s="619" t="s">
        <v>760</v>
      </c>
      <c r="Q2829" s="662"/>
      <c r="R2829" s="618"/>
      <c r="S2829" s="621" t="s">
        <v>3699</v>
      </c>
      <c r="T2829" s="619" t="s">
        <v>1081</v>
      </c>
    </row>
    <row r="2830" spans="1:20">
      <c r="A2830" s="630">
        <v>2702830</v>
      </c>
      <c r="B2830" s="623"/>
      <c r="C2830" s="623"/>
      <c r="D2830" s="623"/>
      <c r="E2830" s="627" t="s">
        <v>1176</v>
      </c>
      <c r="F2830" s="631" t="s">
        <v>3742</v>
      </c>
      <c r="G2830" s="661">
        <v>270</v>
      </c>
      <c r="H2830" s="633">
        <v>2830</v>
      </c>
      <c r="I2830" s="618"/>
      <c r="J2830" s="619" t="s">
        <v>1176</v>
      </c>
      <c r="K2830" s="618"/>
      <c r="L2830" s="619">
        <v>94</v>
      </c>
      <c r="M2830" s="620">
        <v>89</v>
      </c>
      <c r="N2830" s="619"/>
      <c r="O2830" s="619">
        <v>20</v>
      </c>
      <c r="P2830" s="619" t="s">
        <v>760</v>
      </c>
      <c r="Q2830" s="662"/>
      <c r="R2830" s="618"/>
      <c r="S2830" s="621" t="s">
        <v>3699</v>
      </c>
      <c r="T2830" s="619" t="s">
        <v>1083</v>
      </c>
    </row>
    <row r="2831" spans="1:20">
      <c r="A2831" s="630">
        <v>2812830</v>
      </c>
      <c r="B2831" s="623"/>
      <c r="C2831" s="623"/>
      <c r="D2831" s="623"/>
      <c r="E2831" s="627" t="s">
        <v>1178</v>
      </c>
      <c r="F2831" s="631" t="s">
        <v>3743</v>
      </c>
      <c r="G2831" s="661">
        <v>281</v>
      </c>
      <c r="H2831" s="633">
        <v>2830</v>
      </c>
      <c r="I2831" s="618"/>
      <c r="J2831" s="619" t="s">
        <v>1178</v>
      </c>
      <c r="K2831" s="618"/>
      <c r="L2831" s="619">
        <v>95</v>
      </c>
      <c r="M2831" s="620">
        <v>90</v>
      </c>
      <c r="N2831" s="619"/>
      <c r="O2831" s="619">
        <v>20</v>
      </c>
      <c r="P2831" s="619" t="s">
        <v>760</v>
      </c>
      <c r="Q2831" s="662"/>
      <c r="R2831" s="618"/>
      <c r="S2831" s="621" t="s">
        <v>3699</v>
      </c>
      <c r="T2831" s="619" t="s">
        <v>1085</v>
      </c>
    </row>
    <row r="2832" spans="1:20">
      <c r="A2832" s="630">
        <v>2822830</v>
      </c>
      <c r="B2832" s="623"/>
      <c r="C2832" s="623"/>
      <c r="D2832" s="623"/>
      <c r="E2832" s="627" t="s">
        <v>1180</v>
      </c>
      <c r="F2832" s="631" t="s">
        <v>3744</v>
      </c>
      <c r="G2832" s="661">
        <v>282</v>
      </c>
      <c r="H2832" s="633">
        <v>2830</v>
      </c>
      <c r="I2832" s="618"/>
      <c r="J2832" s="619" t="s">
        <v>1180</v>
      </c>
      <c r="K2832" s="618"/>
      <c r="L2832" s="619">
        <v>95</v>
      </c>
      <c r="M2832" s="620">
        <v>90</v>
      </c>
      <c r="N2832" s="619"/>
      <c r="O2832" s="619">
        <v>20</v>
      </c>
      <c r="P2832" s="619" t="s">
        <v>760</v>
      </c>
      <c r="Q2832" s="662"/>
      <c r="R2832" s="618"/>
      <c r="S2832" s="621" t="s">
        <v>3699</v>
      </c>
      <c r="T2832" s="619" t="s">
        <v>1087</v>
      </c>
    </row>
    <row r="2833" spans="1:20">
      <c r="A2833" s="630">
        <v>2902830</v>
      </c>
      <c r="B2833" s="623"/>
      <c r="C2833" s="623"/>
      <c r="D2833" s="623"/>
      <c r="E2833" s="627" t="s">
        <v>1182</v>
      </c>
      <c r="F2833" s="631" t="s">
        <v>3745</v>
      </c>
      <c r="G2833" s="661">
        <v>290</v>
      </c>
      <c r="H2833" s="633">
        <v>2830</v>
      </c>
      <c r="I2833" s="618"/>
      <c r="J2833" s="619" t="s">
        <v>1182</v>
      </c>
      <c r="K2833" s="618"/>
      <c r="L2833" s="619">
        <v>95</v>
      </c>
      <c r="M2833" s="620">
        <v>90</v>
      </c>
      <c r="N2833" s="619"/>
      <c r="O2833" s="619">
        <v>20</v>
      </c>
      <c r="P2833" s="619" t="s">
        <v>760</v>
      </c>
      <c r="Q2833" s="662"/>
      <c r="R2833" s="618"/>
      <c r="S2833" s="621" t="s">
        <v>3699</v>
      </c>
      <c r="T2833" s="619" t="s">
        <v>1090</v>
      </c>
    </row>
    <row r="2834" spans="1:20">
      <c r="A2834" s="622"/>
      <c r="B2834" s="623"/>
      <c r="C2834" s="629">
        <v>88</v>
      </c>
      <c r="D2834" s="784" t="s">
        <v>3746</v>
      </c>
      <c r="E2834" s="775"/>
      <c r="F2834" s="626"/>
      <c r="G2834" s="623"/>
      <c r="H2834" s="627"/>
      <c r="I2834" s="618"/>
      <c r="J2834" s="618"/>
      <c r="K2834" s="618"/>
      <c r="L2834" s="618"/>
      <c r="M2834" s="618"/>
      <c r="N2834" s="618"/>
      <c r="O2834" s="618"/>
      <c r="P2834" s="618"/>
      <c r="Q2834" s="662"/>
      <c r="R2834" s="618"/>
      <c r="S2834" s="621"/>
      <c r="T2834" s="618"/>
    </row>
    <row r="2835" spans="1:20">
      <c r="A2835" s="622"/>
      <c r="B2835" s="623"/>
      <c r="C2835" s="623"/>
      <c r="D2835" s="623" t="s">
        <v>756</v>
      </c>
      <c r="E2835" s="627" t="s">
        <v>244</v>
      </c>
      <c r="F2835" s="626"/>
      <c r="G2835" s="623"/>
      <c r="H2835" s="627"/>
      <c r="I2835" s="618"/>
      <c r="J2835" s="618"/>
      <c r="K2835" s="618"/>
      <c r="L2835" s="618"/>
      <c r="M2835" s="618"/>
      <c r="N2835" s="618"/>
      <c r="O2835" s="618"/>
      <c r="P2835" s="618"/>
      <c r="Q2835" s="662"/>
      <c r="R2835" s="618"/>
      <c r="S2835" s="621"/>
      <c r="T2835" s="618"/>
    </row>
    <row r="2836" spans="1:20">
      <c r="A2836" s="630">
        <v>1112840</v>
      </c>
      <c r="B2836" s="623"/>
      <c r="C2836" s="623"/>
      <c r="D2836" s="623"/>
      <c r="E2836" s="627" t="s">
        <v>1844</v>
      </c>
      <c r="F2836" s="631" t="s">
        <v>3747</v>
      </c>
      <c r="G2836" s="661">
        <v>111</v>
      </c>
      <c r="H2836" s="633">
        <v>2840</v>
      </c>
      <c r="I2836" s="618"/>
      <c r="J2836" s="619" t="s">
        <v>1844</v>
      </c>
      <c r="K2836" s="618"/>
      <c r="L2836" s="619">
        <v>81</v>
      </c>
      <c r="M2836" s="620">
        <v>76</v>
      </c>
      <c r="N2836" s="619"/>
      <c r="O2836" s="619">
        <v>20</v>
      </c>
      <c r="P2836" s="619" t="s">
        <v>760</v>
      </c>
      <c r="Q2836" s="662"/>
      <c r="R2836" s="618"/>
      <c r="S2836" s="621" t="s">
        <v>3748</v>
      </c>
      <c r="T2836" s="619" t="s">
        <v>1847</v>
      </c>
    </row>
    <row r="2837" spans="1:20">
      <c r="A2837" s="630">
        <v>1182842</v>
      </c>
      <c r="B2837" s="623"/>
      <c r="C2837" s="623"/>
      <c r="D2837" s="623"/>
      <c r="E2837" s="627" t="s">
        <v>3749</v>
      </c>
      <c r="F2837" s="631" t="s">
        <v>3750</v>
      </c>
      <c r="G2837" s="661">
        <v>118</v>
      </c>
      <c r="H2837" s="633">
        <v>2842</v>
      </c>
      <c r="I2837" s="618"/>
      <c r="J2837" s="619" t="s">
        <v>3749</v>
      </c>
      <c r="K2837" s="618"/>
      <c r="L2837" s="619">
        <v>86</v>
      </c>
      <c r="M2837" s="620">
        <v>81</v>
      </c>
      <c r="N2837" s="619"/>
      <c r="O2837" s="619">
        <v>20</v>
      </c>
      <c r="P2837" s="619" t="s">
        <v>760</v>
      </c>
      <c r="Q2837" s="662"/>
      <c r="R2837" s="618"/>
      <c r="S2837" s="621" t="s">
        <v>3748</v>
      </c>
      <c r="T2837" s="619" t="s">
        <v>3751</v>
      </c>
    </row>
    <row r="2838" spans="1:20">
      <c r="A2838" s="630">
        <v>1182843</v>
      </c>
      <c r="B2838" s="623"/>
      <c r="C2838" s="623"/>
      <c r="D2838" s="623"/>
      <c r="E2838" s="627" t="s">
        <v>3752</v>
      </c>
      <c r="F2838" s="631" t="s">
        <v>3753</v>
      </c>
      <c r="G2838" s="661">
        <v>118</v>
      </c>
      <c r="H2838" s="633">
        <v>2843</v>
      </c>
      <c r="I2838" s="618"/>
      <c r="J2838" s="619" t="s">
        <v>3752</v>
      </c>
      <c r="K2838" s="618"/>
      <c r="L2838" s="619">
        <v>86</v>
      </c>
      <c r="M2838" s="620">
        <v>81</v>
      </c>
      <c r="N2838" s="619"/>
      <c r="O2838" s="619">
        <v>20</v>
      </c>
      <c r="P2838" s="619" t="s">
        <v>760</v>
      </c>
      <c r="Q2838" s="662"/>
      <c r="R2838" s="618"/>
      <c r="S2838" s="621" t="s">
        <v>3748</v>
      </c>
      <c r="T2838" s="619" t="s">
        <v>3754</v>
      </c>
    </row>
    <row r="2839" spans="1:20">
      <c r="A2839" s="630">
        <v>1182844</v>
      </c>
      <c r="B2839" s="623"/>
      <c r="C2839" s="623"/>
      <c r="D2839" s="623"/>
      <c r="E2839" s="627" t="s">
        <v>3755</v>
      </c>
      <c r="F2839" s="631" t="s">
        <v>3756</v>
      </c>
      <c r="G2839" s="661">
        <v>118</v>
      </c>
      <c r="H2839" s="633">
        <v>2844</v>
      </c>
      <c r="I2839" s="618"/>
      <c r="J2839" s="619" t="s">
        <v>3755</v>
      </c>
      <c r="K2839" s="618"/>
      <c r="L2839" s="619">
        <v>86</v>
      </c>
      <c r="M2839" s="620">
        <v>81</v>
      </c>
      <c r="N2839" s="619"/>
      <c r="O2839" s="619">
        <v>20</v>
      </c>
      <c r="P2839" s="619" t="s">
        <v>760</v>
      </c>
      <c r="Q2839" s="662"/>
      <c r="R2839" s="618"/>
      <c r="S2839" s="621" t="s">
        <v>3748</v>
      </c>
      <c r="T2839" s="619" t="s">
        <v>3757</v>
      </c>
    </row>
    <row r="2840" spans="1:20">
      <c r="A2840" s="630">
        <v>1102845</v>
      </c>
      <c r="B2840" s="623"/>
      <c r="C2840" s="623"/>
      <c r="D2840" s="623"/>
      <c r="E2840" s="627" t="s">
        <v>3758</v>
      </c>
      <c r="F2840" s="631" t="s">
        <v>3759</v>
      </c>
      <c r="G2840" s="661">
        <v>110</v>
      </c>
      <c r="H2840" s="633">
        <v>2845</v>
      </c>
      <c r="I2840" s="618"/>
      <c r="J2840" s="619" t="s">
        <v>3758</v>
      </c>
      <c r="K2840" s="618"/>
      <c r="L2840" s="619">
        <v>86</v>
      </c>
      <c r="M2840" s="620">
        <v>81</v>
      </c>
      <c r="N2840" s="619"/>
      <c r="O2840" s="619">
        <v>20</v>
      </c>
      <c r="P2840" s="619" t="s">
        <v>760</v>
      </c>
      <c r="Q2840" s="662"/>
      <c r="R2840" s="618"/>
      <c r="S2840" s="621" t="s">
        <v>3748</v>
      </c>
      <c r="T2840" s="619" t="s">
        <v>3760</v>
      </c>
    </row>
    <row r="2841" spans="1:20">
      <c r="A2841" s="630">
        <v>1102846</v>
      </c>
      <c r="B2841" s="623"/>
      <c r="C2841" s="623"/>
      <c r="D2841" s="623"/>
      <c r="E2841" s="627" t="s">
        <v>3761</v>
      </c>
      <c r="F2841" s="631" t="s">
        <v>3762</v>
      </c>
      <c r="G2841" s="661">
        <v>110</v>
      </c>
      <c r="H2841" s="633">
        <v>2846</v>
      </c>
      <c r="I2841" s="618"/>
      <c r="J2841" s="619" t="s">
        <v>3761</v>
      </c>
      <c r="K2841" s="618"/>
      <c r="L2841" s="619">
        <v>86</v>
      </c>
      <c r="M2841" s="620">
        <v>81</v>
      </c>
      <c r="N2841" s="619"/>
      <c r="O2841" s="619">
        <v>20</v>
      </c>
      <c r="P2841" s="619" t="s">
        <v>760</v>
      </c>
      <c r="Q2841" s="662"/>
      <c r="R2841" s="618"/>
      <c r="S2841" s="621" t="s">
        <v>3748</v>
      </c>
      <c r="T2841" s="619" t="s">
        <v>3763</v>
      </c>
    </row>
    <row r="2842" spans="1:20">
      <c r="A2842" s="630">
        <v>1142840</v>
      </c>
      <c r="B2842" s="623"/>
      <c r="C2842" s="623"/>
      <c r="D2842" s="623"/>
      <c r="E2842" s="627" t="s">
        <v>3764</v>
      </c>
      <c r="F2842" s="631" t="s">
        <v>3765</v>
      </c>
      <c r="G2842" s="661">
        <v>114</v>
      </c>
      <c r="H2842" s="633">
        <v>2840</v>
      </c>
      <c r="I2842" s="618"/>
      <c r="J2842" s="619" t="s">
        <v>3764</v>
      </c>
      <c r="K2842" s="618"/>
      <c r="L2842" s="619">
        <v>84</v>
      </c>
      <c r="M2842" s="620">
        <v>79</v>
      </c>
      <c r="N2842" s="619"/>
      <c r="O2842" s="619">
        <v>20</v>
      </c>
      <c r="P2842" s="619" t="s">
        <v>760</v>
      </c>
      <c r="Q2842" s="662"/>
      <c r="R2842" s="618"/>
      <c r="S2842" s="621" t="s">
        <v>3748</v>
      </c>
      <c r="T2842" s="619" t="s">
        <v>1853</v>
      </c>
    </row>
    <row r="2843" spans="1:20">
      <c r="A2843" s="630">
        <v>1002840</v>
      </c>
      <c r="B2843" s="623"/>
      <c r="C2843" s="623"/>
      <c r="D2843" s="623"/>
      <c r="E2843" s="627" t="s">
        <v>3766</v>
      </c>
      <c r="F2843" s="631" t="s">
        <v>3767</v>
      </c>
      <c r="G2843" s="661">
        <v>100</v>
      </c>
      <c r="H2843" s="633">
        <v>2840</v>
      </c>
      <c r="I2843" s="618"/>
      <c r="J2843" s="619" t="s">
        <v>3766</v>
      </c>
      <c r="K2843" s="618"/>
      <c r="L2843" s="619">
        <v>86</v>
      </c>
      <c r="M2843" s="620">
        <v>81</v>
      </c>
      <c r="N2843" s="619"/>
      <c r="O2843" s="619">
        <v>20</v>
      </c>
      <c r="P2843" s="619" t="s">
        <v>760</v>
      </c>
      <c r="Q2843" s="662"/>
      <c r="R2843" s="618"/>
      <c r="S2843" s="621" t="s">
        <v>3748</v>
      </c>
      <c r="T2843" s="619" t="s">
        <v>3768</v>
      </c>
    </row>
    <row r="2844" spans="1:20">
      <c r="A2844" s="622"/>
      <c r="B2844" s="623"/>
      <c r="C2844" s="623"/>
      <c r="D2844" s="623" t="s">
        <v>775</v>
      </c>
      <c r="E2844" s="626" t="s">
        <v>1112</v>
      </c>
      <c r="F2844" s="626"/>
      <c r="G2844" s="623"/>
      <c r="H2844" s="627"/>
      <c r="I2844" s="618"/>
      <c r="J2844" s="618"/>
      <c r="K2844" s="618"/>
      <c r="L2844" s="618"/>
      <c r="M2844" s="618"/>
      <c r="N2844" s="618"/>
      <c r="O2844" s="618"/>
      <c r="P2844" s="618"/>
      <c r="Q2844" s="662"/>
      <c r="R2844" s="618"/>
      <c r="S2844" s="621"/>
      <c r="T2844" s="618"/>
    </row>
    <row r="2845" spans="1:20">
      <c r="A2845" s="630">
        <v>3402847</v>
      </c>
      <c r="B2845" s="623"/>
      <c r="C2845" s="623"/>
      <c r="D2845" s="623"/>
      <c r="E2845" s="627" t="s">
        <v>3769</v>
      </c>
      <c r="F2845" s="631" t="s">
        <v>3770</v>
      </c>
      <c r="G2845" s="661">
        <v>340</v>
      </c>
      <c r="H2845" s="633">
        <v>2847</v>
      </c>
      <c r="I2845" s="621"/>
      <c r="J2845" s="619" t="s">
        <v>3769</v>
      </c>
      <c r="K2845" s="618"/>
      <c r="L2845" s="619">
        <v>101</v>
      </c>
      <c r="M2845" s="620">
        <v>96</v>
      </c>
      <c r="N2845" s="619"/>
      <c r="O2845" s="619">
        <v>20</v>
      </c>
      <c r="P2845" s="619" t="s">
        <v>760</v>
      </c>
      <c r="Q2845" s="662"/>
      <c r="R2845" s="618"/>
      <c r="S2845" s="621" t="s">
        <v>3748</v>
      </c>
      <c r="T2845" s="619" t="s">
        <v>3771</v>
      </c>
    </row>
    <row r="2846" spans="1:20">
      <c r="A2846" s="630">
        <v>3402840</v>
      </c>
      <c r="B2846" s="623"/>
      <c r="C2846" s="623"/>
      <c r="D2846" s="623"/>
      <c r="E2846" s="627" t="s">
        <v>3772</v>
      </c>
      <c r="F2846" s="631" t="s">
        <v>3773</v>
      </c>
      <c r="G2846" s="661">
        <v>340</v>
      </c>
      <c r="H2846" s="633">
        <v>2840</v>
      </c>
      <c r="I2846" s="618"/>
      <c r="J2846" s="619" t="s">
        <v>3772</v>
      </c>
      <c r="K2846" s="618"/>
      <c r="L2846" s="619">
        <v>101</v>
      </c>
      <c r="M2846" s="620">
        <v>96</v>
      </c>
      <c r="N2846" s="619"/>
      <c r="O2846" s="619">
        <v>20</v>
      </c>
      <c r="P2846" s="619" t="s">
        <v>760</v>
      </c>
      <c r="Q2846" s="662"/>
      <c r="R2846" s="618"/>
      <c r="S2846" s="621" t="s">
        <v>3748</v>
      </c>
      <c r="T2846" s="619" t="s">
        <v>3774</v>
      </c>
    </row>
    <row r="2847" spans="1:20">
      <c r="A2847" s="630">
        <v>3002840</v>
      </c>
      <c r="B2847" s="623"/>
      <c r="C2847" s="623"/>
      <c r="D2847" s="623"/>
      <c r="E2847" s="627" t="s">
        <v>3001</v>
      </c>
      <c r="F2847" s="631" t="s">
        <v>3775</v>
      </c>
      <c r="G2847" s="661">
        <v>300</v>
      </c>
      <c r="H2847" s="633">
        <v>2840</v>
      </c>
      <c r="I2847" s="618"/>
      <c r="J2847" s="619" t="s">
        <v>3001</v>
      </c>
      <c r="K2847" s="618"/>
      <c r="L2847" s="619">
        <v>101</v>
      </c>
      <c r="M2847" s="620">
        <v>96</v>
      </c>
      <c r="N2847" s="619"/>
      <c r="O2847" s="619">
        <v>20</v>
      </c>
      <c r="P2847" s="619" t="s">
        <v>760</v>
      </c>
      <c r="Q2847" s="662"/>
      <c r="R2847" s="618"/>
      <c r="S2847" s="621" t="s">
        <v>3748</v>
      </c>
      <c r="T2847" s="619" t="s">
        <v>3003</v>
      </c>
    </row>
    <row r="2848" spans="1:20">
      <c r="A2848" s="622"/>
      <c r="B2848" s="623"/>
      <c r="C2848" s="623"/>
      <c r="D2848" s="623" t="s">
        <v>799</v>
      </c>
      <c r="E2848" s="626" t="s">
        <v>250</v>
      </c>
      <c r="F2848" s="626"/>
      <c r="G2848" s="623"/>
      <c r="H2848" s="627"/>
      <c r="I2848" s="618"/>
      <c r="J2848" s="618"/>
      <c r="K2848" s="618"/>
      <c r="L2848" s="618"/>
      <c r="M2848" s="618"/>
      <c r="N2848" s="618"/>
      <c r="O2848" s="618"/>
      <c r="P2848" s="618"/>
      <c r="Q2848" s="662"/>
      <c r="R2848" s="618"/>
      <c r="S2848" s="621"/>
      <c r="T2848" s="618"/>
    </row>
    <row r="2849" spans="1:20">
      <c r="A2849" s="630">
        <v>4302840</v>
      </c>
      <c r="B2849" s="623"/>
      <c r="C2849" s="623"/>
      <c r="D2849" s="623"/>
      <c r="E2849" s="626" t="s">
        <v>1114</v>
      </c>
      <c r="F2849" s="631" t="s">
        <v>3776</v>
      </c>
      <c r="G2849" s="661">
        <v>430</v>
      </c>
      <c r="H2849" s="633">
        <v>2840</v>
      </c>
      <c r="I2849" s="618"/>
      <c r="J2849" s="619" t="s">
        <v>1114</v>
      </c>
      <c r="K2849" s="618"/>
      <c r="L2849" s="619">
        <v>107</v>
      </c>
      <c r="M2849" s="620">
        <v>102</v>
      </c>
      <c r="N2849" s="619"/>
      <c r="O2849" s="619">
        <v>20</v>
      </c>
      <c r="P2849" s="619" t="s">
        <v>760</v>
      </c>
      <c r="Q2849" s="662"/>
      <c r="R2849" s="618"/>
      <c r="S2849" s="621" t="s">
        <v>3748</v>
      </c>
      <c r="T2849" s="619" t="s">
        <v>1021</v>
      </c>
    </row>
    <row r="2850" spans="1:20">
      <c r="A2850" s="630">
        <v>4422840</v>
      </c>
      <c r="B2850" s="623"/>
      <c r="C2850" s="623"/>
      <c r="D2850" s="623"/>
      <c r="E2850" s="627" t="s">
        <v>1116</v>
      </c>
      <c r="F2850" s="631" t="s">
        <v>3777</v>
      </c>
      <c r="G2850" s="661">
        <v>442</v>
      </c>
      <c r="H2850" s="633">
        <v>2840</v>
      </c>
      <c r="I2850" s="618"/>
      <c r="J2850" s="619" t="s">
        <v>1116</v>
      </c>
      <c r="K2850" s="618"/>
      <c r="L2850" s="619">
        <v>106</v>
      </c>
      <c r="M2850" s="620">
        <v>101</v>
      </c>
      <c r="N2850" s="619"/>
      <c r="O2850" s="619">
        <v>20</v>
      </c>
      <c r="P2850" s="619" t="s">
        <v>760</v>
      </c>
      <c r="Q2850" s="662"/>
      <c r="R2850" s="618"/>
      <c r="S2850" s="621" t="s">
        <v>3748</v>
      </c>
      <c r="T2850" s="619" t="s">
        <v>1023</v>
      </c>
    </row>
    <row r="2851" spans="1:20">
      <c r="A2851" s="630">
        <v>4002840</v>
      </c>
      <c r="B2851" s="623"/>
      <c r="C2851" s="623"/>
      <c r="D2851" s="623"/>
      <c r="E2851" s="627" t="s">
        <v>1118</v>
      </c>
      <c r="F2851" s="631" t="s">
        <v>3778</v>
      </c>
      <c r="G2851" s="661">
        <v>400</v>
      </c>
      <c r="H2851" s="633">
        <v>2840</v>
      </c>
      <c r="I2851" s="618"/>
      <c r="J2851" s="619" t="s">
        <v>1118</v>
      </c>
      <c r="K2851" s="618"/>
      <c r="L2851" s="619">
        <v>108</v>
      </c>
      <c r="M2851" s="620">
        <v>103</v>
      </c>
      <c r="N2851" s="619"/>
      <c r="O2851" s="619">
        <v>20</v>
      </c>
      <c r="P2851" s="619" t="s">
        <v>760</v>
      </c>
      <c r="Q2851" s="662"/>
      <c r="R2851" s="618"/>
      <c r="S2851" s="621" t="s">
        <v>3748</v>
      </c>
      <c r="T2851" s="619" t="s">
        <v>1025</v>
      </c>
    </row>
    <row r="2852" spans="1:20">
      <c r="A2852" s="622"/>
      <c r="B2852" s="623"/>
      <c r="C2852" s="623"/>
      <c r="D2852" s="623" t="s">
        <v>803</v>
      </c>
      <c r="E2852" s="626" t="s">
        <v>252</v>
      </c>
      <c r="F2852" s="626"/>
      <c r="G2852" s="623"/>
      <c r="H2852" s="627"/>
      <c r="I2852" s="618"/>
      <c r="J2852" s="618"/>
      <c r="K2852" s="618"/>
      <c r="L2852" s="618"/>
      <c r="M2852" s="618"/>
      <c r="N2852" s="618"/>
      <c r="O2852" s="618"/>
      <c r="P2852" s="618"/>
      <c r="Q2852" s="662"/>
      <c r="R2852" s="618"/>
      <c r="S2852" s="621"/>
      <c r="T2852" s="618"/>
    </row>
    <row r="2853" spans="1:20">
      <c r="A2853" s="630">
        <v>5302840</v>
      </c>
      <c r="B2853" s="623"/>
      <c r="C2853" s="623"/>
      <c r="D2853" s="623"/>
      <c r="E2853" s="627" t="s">
        <v>3104</v>
      </c>
      <c r="F2853" s="631" t="s">
        <v>3779</v>
      </c>
      <c r="G2853" s="661">
        <v>530</v>
      </c>
      <c r="H2853" s="633">
        <v>2840</v>
      </c>
      <c r="I2853" s="618"/>
      <c r="J2853" s="619" t="s">
        <v>3104</v>
      </c>
      <c r="K2853" s="618"/>
      <c r="L2853" s="619">
        <v>119</v>
      </c>
      <c r="M2853" s="620">
        <v>110</v>
      </c>
      <c r="N2853" s="619"/>
      <c r="O2853" s="619">
        <v>20</v>
      </c>
      <c r="P2853" s="619" t="s">
        <v>760</v>
      </c>
      <c r="Q2853" s="662"/>
      <c r="R2853" s="618"/>
      <c r="S2853" s="621" t="s">
        <v>3748</v>
      </c>
      <c r="T2853" s="619" t="s">
        <v>3019</v>
      </c>
    </row>
    <row r="2854" spans="1:20">
      <c r="A2854" s="630">
        <v>5822840</v>
      </c>
      <c r="B2854" s="623"/>
      <c r="C2854" s="623"/>
      <c r="D2854" s="623"/>
      <c r="E2854" s="627" t="s">
        <v>1134</v>
      </c>
      <c r="F2854" s="631" t="s">
        <v>3780</v>
      </c>
      <c r="G2854" s="661">
        <v>582</v>
      </c>
      <c r="H2854" s="633">
        <v>2840</v>
      </c>
      <c r="I2854" s="618"/>
      <c r="J2854" s="619" t="s">
        <v>1134</v>
      </c>
      <c r="K2854" s="618"/>
      <c r="L2854" s="619">
        <v>118</v>
      </c>
      <c r="M2854" s="620">
        <v>109</v>
      </c>
      <c r="N2854" s="619"/>
      <c r="O2854" s="619">
        <v>20</v>
      </c>
      <c r="P2854" s="619" t="s">
        <v>760</v>
      </c>
      <c r="Q2854" s="662"/>
      <c r="R2854" s="618"/>
      <c r="S2854" s="621" t="s">
        <v>3748</v>
      </c>
      <c r="T2854" s="619" t="s">
        <v>1037</v>
      </c>
    </row>
    <row r="2855" spans="1:20">
      <c r="A2855" s="630">
        <v>5002840</v>
      </c>
      <c r="B2855" s="623"/>
      <c r="C2855" s="623"/>
      <c r="D2855" s="623"/>
      <c r="E2855" s="627" t="s">
        <v>1136</v>
      </c>
      <c r="F2855" s="631" t="s">
        <v>3781</v>
      </c>
      <c r="G2855" s="661">
        <v>500</v>
      </c>
      <c r="H2855" s="633">
        <v>2840</v>
      </c>
      <c r="I2855" s="618"/>
      <c r="J2855" s="619" t="s">
        <v>1136</v>
      </c>
      <c r="K2855" s="618"/>
      <c r="L2855" s="619">
        <v>119</v>
      </c>
      <c r="M2855" s="620">
        <v>110</v>
      </c>
      <c r="N2855" s="619"/>
      <c r="O2855" s="619">
        <v>20</v>
      </c>
      <c r="P2855" s="619" t="s">
        <v>760</v>
      </c>
      <c r="Q2855" s="662"/>
      <c r="R2855" s="618"/>
      <c r="S2855" s="621" t="s">
        <v>3748</v>
      </c>
      <c r="T2855" s="619" t="s">
        <v>252</v>
      </c>
    </row>
    <row r="2856" spans="1:20">
      <c r="A2856" s="622"/>
      <c r="B2856" s="623"/>
      <c r="C2856" s="623"/>
      <c r="D2856" s="623" t="s">
        <v>848</v>
      </c>
      <c r="E2856" s="627" t="s">
        <v>254</v>
      </c>
      <c r="F2856" s="626"/>
      <c r="G2856" s="623"/>
      <c r="H2856" s="627"/>
      <c r="I2856" s="618"/>
      <c r="J2856" s="618"/>
      <c r="K2856" s="618"/>
      <c r="L2856" s="618"/>
      <c r="M2856" s="618"/>
      <c r="N2856" s="618"/>
      <c r="O2856" s="618"/>
      <c r="P2856" s="618"/>
      <c r="Q2856" s="662"/>
      <c r="R2856" s="618"/>
      <c r="S2856" s="621"/>
      <c r="T2856" s="618"/>
    </row>
    <row r="2857" spans="1:20">
      <c r="A2857" s="630">
        <v>6152840</v>
      </c>
      <c r="B2857" s="623"/>
      <c r="C2857" s="623"/>
      <c r="D2857" s="623"/>
      <c r="E2857" s="627" t="s">
        <v>1138</v>
      </c>
      <c r="F2857" s="631" t="s">
        <v>3782</v>
      </c>
      <c r="G2857" s="661">
        <v>615</v>
      </c>
      <c r="H2857" s="633">
        <v>2840</v>
      </c>
      <c r="I2857" s="618"/>
      <c r="J2857" s="619" t="s">
        <v>1138</v>
      </c>
      <c r="K2857" s="618"/>
      <c r="L2857" s="619">
        <v>126</v>
      </c>
      <c r="M2857" s="620">
        <v>117</v>
      </c>
      <c r="N2857" s="619"/>
      <c r="O2857" s="619">
        <v>20</v>
      </c>
      <c r="P2857" s="619" t="s">
        <v>760</v>
      </c>
      <c r="Q2857" s="662" t="s">
        <v>1043</v>
      </c>
      <c r="R2857" s="618"/>
      <c r="S2857" s="621" t="s">
        <v>3748</v>
      </c>
      <c r="T2857" s="619" t="s">
        <v>1041</v>
      </c>
    </row>
    <row r="2858" spans="1:20">
      <c r="A2858" s="630">
        <v>6102840</v>
      </c>
      <c r="B2858" s="623"/>
      <c r="C2858" s="623"/>
      <c r="D2858" s="623"/>
      <c r="E2858" s="627" t="s">
        <v>1140</v>
      </c>
      <c r="F2858" s="631" t="s">
        <v>3783</v>
      </c>
      <c r="G2858" s="661">
        <v>610</v>
      </c>
      <c r="H2858" s="633">
        <v>2840</v>
      </c>
      <c r="I2858" s="618"/>
      <c r="J2858" s="619" t="s">
        <v>1140</v>
      </c>
      <c r="K2858" s="618"/>
      <c r="L2858" s="619">
        <v>122</v>
      </c>
      <c r="M2858" s="620">
        <v>113</v>
      </c>
      <c r="N2858" s="619"/>
      <c r="O2858" s="619">
        <v>20</v>
      </c>
      <c r="P2858" s="619" t="s">
        <v>760</v>
      </c>
      <c r="Q2858" s="662" t="s">
        <v>1043</v>
      </c>
      <c r="R2858" s="618"/>
      <c r="S2858" s="621" t="s">
        <v>3748</v>
      </c>
      <c r="T2858" s="619" t="s">
        <v>39</v>
      </c>
    </row>
    <row r="2859" spans="1:20">
      <c r="A2859" s="630">
        <v>6002840</v>
      </c>
      <c r="B2859" s="623"/>
      <c r="C2859" s="623"/>
      <c r="D2859" s="623"/>
      <c r="E2859" s="627" t="s">
        <v>1869</v>
      </c>
      <c r="F2859" s="631" t="s">
        <v>3784</v>
      </c>
      <c r="G2859" s="661">
        <v>600</v>
      </c>
      <c r="H2859" s="633">
        <v>2840</v>
      </c>
      <c r="I2859" s="618"/>
      <c r="J2859" s="619" t="s">
        <v>1869</v>
      </c>
      <c r="K2859" s="618"/>
      <c r="L2859" s="619">
        <v>126</v>
      </c>
      <c r="M2859" s="620">
        <v>117</v>
      </c>
      <c r="N2859" s="619"/>
      <c r="O2859" s="619">
        <v>20</v>
      </c>
      <c r="P2859" s="619" t="s">
        <v>760</v>
      </c>
      <c r="Q2859" s="662"/>
      <c r="R2859" s="618"/>
      <c r="S2859" s="621" t="s">
        <v>3748</v>
      </c>
      <c r="T2859" s="619" t="s">
        <v>1048</v>
      </c>
    </row>
    <row r="2860" spans="1:20">
      <c r="A2860" s="622"/>
      <c r="B2860" s="623"/>
      <c r="C2860" s="623"/>
      <c r="D2860" s="623" t="s">
        <v>851</v>
      </c>
      <c r="E2860" s="626" t="s">
        <v>1050</v>
      </c>
      <c r="F2860" s="626"/>
      <c r="G2860" s="623"/>
      <c r="H2860" s="627"/>
      <c r="I2860" s="618"/>
      <c r="J2860" s="618"/>
      <c r="K2860" s="618"/>
      <c r="L2860" s="618"/>
      <c r="M2860" s="618"/>
      <c r="N2860" s="618"/>
      <c r="O2860" s="618"/>
      <c r="P2860" s="618"/>
      <c r="Q2860" s="662"/>
      <c r="R2860" s="618"/>
      <c r="S2860" s="621"/>
      <c r="T2860" s="618"/>
    </row>
    <row r="2861" spans="1:20">
      <c r="A2861" s="630">
        <v>7342840</v>
      </c>
      <c r="B2861" s="623"/>
      <c r="C2861" s="623"/>
      <c r="D2861" s="623"/>
      <c r="E2861" s="627" t="s">
        <v>1146</v>
      </c>
      <c r="F2861" s="631" t="s">
        <v>3785</v>
      </c>
      <c r="G2861" s="661">
        <v>734</v>
      </c>
      <c r="H2861" s="633">
        <v>2840</v>
      </c>
      <c r="I2861" s="618"/>
      <c r="J2861" s="619" t="s">
        <v>1146</v>
      </c>
      <c r="K2861" s="618"/>
      <c r="L2861" s="619">
        <v>131</v>
      </c>
      <c r="M2861" s="620">
        <v>122</v>
      </c>
      <c r="N2861" s="619"/>
      <c r="O2861" s="619">
        <v>20</v>
      </c>
      <c r="P2861" s="619" t="s">
        <v>760</v>
      </c>
      <c r="Q2861" s="662"/>
      <c r="R2861" s="618"/>
      <c r="S2861" s="621" t="s">
        <v>3748</v>
      </c>
      <c r="T2861" s="619" t="s">
        <v>1051</v>
      </c>
    </row>
    <row r="2862" spans="1:20">
      <c r="A2862" s="630">
        <v>7352840</v>
      </c>
      <c r="B2862" s="623"/>
      <c r="C2862" s="623"/>
      <c r="D2862" s="623"/>
      <c r="E2862" s="627" t="s">
        <v>1148</v>
      </c>
      <c r="F2862" s="631" t="s">
        <v>3786</v>
      </c>
      <c r="G2862" s="661">
        <v>735</v>
      </c>
      <c r="H2862" s="633">
        <v>2840</v>
      </c>
      <c r="I2862" s="618"/>
      <c r="J2862" s="619" t="s">
        <v>1148</v>
      </c>
      <c r="K2862" s="618"/>
      <c r="L2862" s="619">
        <v>131</v>
      </c>
      <c r="M2862" s="620">
        <v>122</v>
      </c>
      <c r="N2862" s="619"/>
      <c r="O2862" s="619">
        <v>20</v>
      </c>
      <c r="P2862" s="619" t="s">
        <v>760</v>
      </c>
      <c r="Q2862" s="662"/>
      <c r="R2862" s="618"/>
      <c r="S2862" s="621" t="s">
        <v>3748</v>
      </c>
      <c r="T2862" s="619" t="s">
        <v>1053</v>
      </c>
    </row>
    <row r="2863" spans="1:20">
      <c r="A2863" s="630">
        <v>7302840</v>
      </c>
      <c r="B2863" s="623"/>
      <c r="C2863" s="623"/>
      <c r="D2863" s="623"/>
      <c r="E2863" s="627" t="s">
        <v>1150</v>
      </c>
      <c r="F2863" s="631" t="s">
        <v>3787</v>
      </c>
      <c r="G2863" s="661">
        <v>730</v>
      </c>
      <c r="H2863" s="633">
        <v>2840</v>
      </c>
      <c r="I2863" s="618"/>
      <c r="J2863" s="619" t="s">
        <v>1150</v>
      </c>
      <c r="K2863" s="618"/>
      <c r="L2863" s="619">
        <v>131</v>
      </c>
      <c r="M2863" s="620">
        <v>122</v>
      </c>
      <c r="N2863" s="619"/>
      <c r="O2863" s="619">
        <v>20</v>
      </c>
      <c r="P2863" s="619" t="s">
        <v>760</v>
      </c>
      <c r="Q2863" s="662"/>
      <c r="R2863" s="618"/>
      <c r="S2863" s="621" t="s">
        <v>3748</v>
      </c>
      <c r="T2863" s="619" t="s">
        <v>1055</v>
      </c>
    </row>
    <row r="2864" spans="1:20">
      <c r="A2864" s="630">
        <v>7002840</v>
      </c>
      <c r="B2864" s="623"/>
      <c r="C2864" s="623"/>
      <c r="D2864" s="623"/>
      <c r="E2864" s="627" t="s">
        <v>1152</v>
      </c>
      <c r="F2864" s="631" t="s">
        <v>3788</v>
      </c>
      <c r="G2864" s="661">
        <v>700</v>
      </c>
      <c r="H2864" s="633">
        <v>2840</v>
      </c>
      <c r="I2864" s="618"/>
      <c r="J2864" s="619" t="s">
        <v>1152</v>
      </c>
      <c r="K2864" s="618"/>
      <c r="L2864" s="619">
        <v>132</v>
      </c>
      <c r="M2864" s="620">
        <v>123</v>
      </c>
      <c r="N2864" s="619"/>
      <c r="O2864" s="619">
        <v>20</v>
      </c>
      <c r="P2864" s="619" t="s">
        <v>760</v>
      </c>
      <c r="Q2864" s="662"/>
      <c r="R2864" s="618"/>
      <c r="S2864" s="621" t="s">
        <v>3748</v>
      </c>
      <c r="T2864" s="619" t="s">
        <v>1057</v>
      </c>
    </row>
    <row r="2865" spans="1:20">
      <c r="A2865" s="622"/>
      <c r="B2865" s="623"/>
      <c r="C2865" s="623"/>
      <c r="D2865" s="623" t="s">
        <v>854</v>
      </c>
      <c r="E2865" s="626" t="s">
        <v>256</v>
      </c>
      <c r="F2865" s="626"/>
      <c r="G2865" s="623"/>
      <c r="H2865" s="627"/>
      <c r="I2865" s="618"/>
      <c r="J2865" s="618"/>
      <c r="K2865" s="618"/>
      <c r="L2865" s="618"/>
      <c r="M2865" s="618"/>
      <c r="N2865" s="618"/>
      <c r="O2865" s="618"/>
      <c r="P2865" s="618"/>
      <c r="Q2865" s="662"/>
      <c r="R2865" s="618"/>
      <c r="S2865" s="621"/>
      <c r="T2865" s="618"/>
    </row>
    <row r="2866" spans="1:20">
      <c r="A2866" s="630">
        <v>8952840</v>
      </c>
      <c r="B2866" s="623"/>
      <c r="C2866" s="623"/>
      <c r="D2866" s="623"/>
      <c r="E2866" s="627" t="s">
        <v>1154</v>
      </c>
      <c r="F2866" s="631" t="s">
        <v>3789</v>
      </c>
      <c r="G2866" s="661">
        <v>895</v>
      </c>
      <c r="H2866" s="633">
        <v>2840</v>
      </c>
      <c r="I2866" s="618"/>
      <c r="J2866" s="619" t="s">
        <v>1154</v>
      </c>
      <c r="K2866" s="618"/>
      <c r="L2866" s="619">
        <v>139</v>
      </c>
      <c r="M2866" s="620">
        <v>129</v>
      </c>
      <c r="N2866" s="619"/>
      <c r="O2866" s="619">
        <v>20</v>
      </c>
      <c r="P2866" s="619" t="s">
        <v>760</v>
      </c>
      <c r="Q2866" s="662"/>
      <c r="R2866" s="618"/>
      <c r="S2866" s="621" t="s">
        <v>3748</v>
      </c>
      <c r="T2866" s="619" t="s">
        <v>1059</v>
      </c>
    </row>
    <row r="2867" spans="1:20">
      <c r="A2867" s="630">
        <v>8002840</v>
      </c>
      <c r="B2867" s="623"/>
      <c r="C2867" s="623"/>
      <c r="D2867" s="623"/>
      <c r="E2867" s="627" t="s">
        <v>1156</v>
      </c>
      <c r="F2867" s="631" t="s">
        <v>3790</v>
      </c>
      <c r="G2867" s="661">
        <v>800</v>
      </c>
      <c r="H2867" s="633">
        <v>2840</v>
      </c>
      <c r="I2867" s="618"/>
      <c r="J2867" s="619" t="s">
        <v>1156</v>
      </c>
      <c r="K2867" s="618"/>
      <c r="L2867" s="619">
        <v>139</v>
      </c>
      <c r="M2867" s="620">
        <v>129</v>
      </c>
      <c r="N2867" s="619"/>
      <c r="O2867" s="619">
        <v>20</v>
      </c>
      <c r="P2867" s="619" t="s">
        <v>760</v>
      </c>
      <c r="Q2867" s="662"/>
      <c r="R2867" s="618"/>
      <c r="S2867" s="621" t="s">
        <v>3748</v>
      </c>
      <c r="T2867" s="619" t="s">
        <v>1061</v>
      </c>
    </row>
    <row r="2868" spans="1:20">
      <c r="A2868" s="622"/>
      <c r="B2868" s="623"/>
      <c r="C2868" s="623"/>
      <c r="D2868" s="623" t="s">
        <v>857</v>
      </c>
      <c r="E2868" s="627" t="s">
        <v>3791</v>
      </c>
      <c r="F2868" s="626"/>
      <c r="G2868" s="623"/>
      <c r="H2868" s="627"/>
      <c r="I2868" s="618"/>
      <c r="J2868" s="618"/>
      <c r="K2868" s="618"/>
      <c r="L2868" s="618"/>
      <c r="M2868" s="618"/>
      <c r="N2868" s="618"/>
      <c r="O2868" s="618"/>
      <c r="P2868" s="618"/>
      <c r="Q2868" s="662"/>
      <c r="R2868" s="618"/>
      <c r="S2868" s="621"/>
      <c r="T2868" s="618"/>
    </row>
    <row r="2869" spans="1:20">
      <c r="A2869" s="630">
        <v>2102840</v>
      </c>
      <c r="B2869" s="623"/>
      <c r="C2869" s="623"/>
      <c r="D2869" s="623"/>
      <c r="E2869" s="627" t="s">
        <v>1158</v>
      </c>
      <c r="F2869" s="631" t="s">
        <v>3792</v>
      </c>
      <c r="G2869" s="661">
        <v>210</v>
      </c>
      <c r="H2869" s="633">
        <v>2840</v>
      </c>
      <c r="I2869" s="618"/>
      <c r="J2869" s="619" t="s">
        <v>1158</v>
      </c>
      <c r="K2869" s="618"/>
      <c r="L2869" s="619">
        <v>89</v>
      </c>
      <c r="M2869" s="620">
        <v>84</v>
      </c>
      <c r="N2869" s="619"/>
      <c r="O2869" s="619">
        <v>20</v>
      </c>
      <c r="P2869" s="619" t="s">
        <v>760</v>
      </c>
      <c r="Q2869" s="662"/>
      <c r="R2869" s="618"/>
      <c r="S2869" s="621" t="s">
        <v>3748</v>
      </c>
      <c r="T2869" s="619" t="s">
        <v>1064</v>
      </c>
    </row>
    <row r="2870" spans="1:20">
      <c r="A2870" s="630">
        <v>2202840</v>
      </c>
      <c r="B2870" s="623"/>
      <c r="C2870" s="623"/>
      <c r="D2870" s="623"/>
      <c r="E2870" s="627" t="s">
        <v>1160</v>
      </c>
      <c r="F2870" s="631" t="s">
        <v>3793</v>
      </c>
      <c r="G2870" s="661">
        <v>220</v>
      </c>
      <c r="H2870" s="633">
        <v>2840</v>
      </c>
      <c r="I2870" s="618"/>
      <c r="J2870" s="619" t="s">
        <v>1160</v>
      </c>
      <c r="K2870" s="618"/>
      <c r="L2870" s="619">
        <v>90</v>
      </c>
      <c r="M2870" s="620">
        <v>85</v>
      </c>
      <c r="N2870" s="619"/>
      <c r="O2870" s="619">
        <v>20</v>
      </c>
      <c r="P2870" s="619" t="s">
        <v>760</v>
      </c>
      <c r="Q2870" s="662"/>
      <c r="R2870" s="618"/>
      <c r="S2870" s="621" t="s">
        <v>3748</v>
      </c>
      <c r="T2870" s="619" t="s">
        <v>1066</v>
      </c>
    </row>
    <row r="2871" spans="1:20">
      <c r="A2871" s="630">
        <v>2252840</v>
      </c>
      <c r="B2871" s="623"/>
      <c r="C2871" s="623"/>
      <c r="D2871" s="623"/>
      <c r="E2871" s="627" t="s">
        <v>1162</v>
      </c>
      <c r="F2871" s="631" t="s">
        <v>3794</v>
      </c>
      <c r="G2871" s="661">
        <v>225</v>
      </c>
      <c r="H2871" s="633">
        <v>2840</v>
      </c>
      <c r="I2871" s="618"/>
      <c r="J2871" s="619" t="s">
        <v>1162</v>
      </c>
      <c r="K2871" s="618"/>
      <c r="L2871" s="619">
        <v>91</v>
      </c>
      <c r="M2871" s="620">
        <v>86</v>
      </c>
      <c r="N2871" s="619"/>
      <c r="O2871" s="619">
        <v>20</v>
      </c>
      <c r="P2871" s="619" t="s">
        <v>760</v>
      </c>
      <c r="Q2871" s="662"/>
      <c r="R2871" s="618"/>
      <c r="S2871" s="621" t="s">
        <v>3748</v>
      </c>
      <c r="T2871" s="619" t="s">
        <v>23</v>
      </c>
    </row>
    <row r="2872" spans="1:20">
      <c r="A2872" s="622"/>
      <c r="B2872" s="623"/>
      <c r="C2872" s="623"/>
      <c r="D2872" s="623"/>
      <c r="E2872" s="627" t="s">
        <v>1164</v>
      </c>
      <c r="F2872" s="626"/>
      <c r="G2872" s="623"/>
      <c r="H2872" s="627"/>
      <c r="I2872" s="618"/>
      <c r="J2872" s="618"/>
      <c r="K2872" s="618"/>
      <c r="L2872" s="618"/>
      <c r="M2872" s="618"/>
      <c r="N2872" s="618"/>
      <c r="O2872" s="618"/>
      <c r="P2872" s="618"/>
      <c r="Q2872" s="662"/>
      <c r="R2872" s="618"/>
      <c r="S2872" s="621"/>
      <c r="T2872" s="618"/>
    </row>
    <row r="2873" spans="1:20">
      <c r="A2873" s="630">
        <v>2312840</v>
      </c>
      <c r="B2873" s="623"/>
      <c r="C2873" s="623"/>
      <c r="D2873" s="623"/>
      <c r="E2873" s="627" t="s">
        <v>1165</v>
      </c>
      <c r="F2873" s="631" t="s">
        <v>3795</v>
      </c>
      <c r="G2873" s="661">
        <v>231</v>
      </c>
      <c r="H2873" s="633">
        <v>2840</v>
      </c>
      <c r="I2873" s="618"/>
      <c r="J2873" s="619" t="s">
        <v>1165</v>
      </c>
      <c r="K2873" s="618"/>
      <c r="L2873" s="619">
        <v>92</v>
      </c>
      <c r="M2873" s="620">
        <v>87</v>
      </c>
      <c r="N2873" s="619"/>
      <c r="O2873" s="619">
        <v>20</v>
      </c>
      <c r="P2873" s="619" t="s">
        <v>760</v>
      </c>
      <c r="Q2873" s="662"/>
      <c r="R2873" s="618"/>
      <c r="S2873" s="621" t="s">
        <v>3748</v>
      </c>
      <c r="T2873" s="619" t="s">
        <v>1072</v>
      </c>
    </row>
    <row r="2874" spans="1:20">
      <c r="A2874" s="630">
        <v>2332840</v>
      </c>
      <c r="B2874" s="623"/>
      <c r="C2874" s="623"/>
      <c r="D2874" s="623"/>
      <c r="E2874" s="627" t="s">
        <v>1167</v>
      </c>
      <c r="F2874" s="631" t="s">
        <v>3796</v>
      </c>
      <c r="G2874" s="661">
        <v>233</v>
      </c>
      <c r="H2874" s="633">
        <v>2840</v>
      </c>
      <c r="I2874" s="618"/>
      <c r="J2874" s="619" t="s">
        <v>1167</v>
      </c>
      <c r="K2874" s="618"/>
      <c r="L2874" s="619">
        <v>92</v>
      </c>
      <c r="M2874" s="620">
        <v>87</v>
      </c>
      <c r="N2874" s="619"/>
      <c r="O2874" s="619">
        <v>20</v>
      </c>
      <c r="P2874" s="619" t="s">
        <v>760</v>
      </c>
      <c r="Q2874" s="662"/>
      <c r="R2874" s="618"/>
      <c r="S2874" s="621" t="s">
        <v>3748</v>
      </c>
      <c r="T2874" s="619" t="s">
        <v>1169</v>
      </c>
    </row>
    <row r="2875" spans="1:20">
      <c r="A2875" s="630">
        <v>2392840</v>
      </c>
      <c r="B2875" s="623"/>
      <c r="C2875" s="623"/>
      <c r="D2875" s="623"/>
      <c r="E2875" s="627" t="s">
        <v>1170</v>
      </c>
      <c r="F2875" s="631" t="s">
        <v>3797</v>
      </c>
      <c r="G2875" s="661">
        <v>239</v>
      </c>
      <c r="H2875" s="633">
        <v>2840</v>
      </c>
      <c r="I2875" s="618"/>
      <c r="J2875" s="619" t="s">
        <v>1170</v>
      </c>
      <c r="K2875" s="618"/>
      <c r="L2875" s="619">
        <v>92</v>
      </c>
      <c r="M2875" s="620">
        <v>87</v>
      </c>
      <c r="N2875" s="619"/>
      <c r="O2875" s="619">
        <v>20</v>
      </c>
      <c r="P2875" s="619" t="s">
        <v>760</v>
      </c>
      <c r="Q2875" s="662"/>
      <c r="R2875" s="618"/>
      <c r="S2875" s="621" t="s">
        <v>3748</v>
      </c>
      <c r="T2875" s="619" t="s">
        <v>1078</v>
      </c>
    </row>
    <row r="2876" spans="1:20">
      <c r="A2876" s="630">
        <v>2502840</v>
      </c>
      <c r="B2876" s="623"/>
      <c r="C2876" s="623"/>
      <c r="D2876" s="623"/>
      <c r="E2876" s="627" t="s">
        <v>1172</v>
      </c>
      <c r="F2876" s="631" t="s">
        <v>3798</v>
      </c>
      <c r="G2876" s="661">
        <v>250</v>
      </c>
      <c r="H2876" s="633">
        <v>2840</v>
      </c>
      <c r="I2876" s="618"/>
      <c r="J2876" s="619" t="s">
        <v>1172</v>
      </c>
      <c r="K2876" s="618"/>
      <c r="L2876" s="619">
        <v>93</v>
      </c>
      <c r="M2876" s="620">
        <v>88</v>
      </c>
      <c r="N2876" s="619"/>
      <c r="O2876" s="619">
        <v>20</v>
      </c>
      <c r="P2876" s="619" t="s">
        <v>760</v>
      </c>
      <c r="Q2876" s="662"/>
      <c r="R2876" s="618"/>
      <c r="S2876" s="621" t="s">
        <v>3748</v>
      </c>
      <c r="T2876" s="619" t="s">
        <v>1079</v>
      </c>
    </row>
    <row r="2877" spans="1:20">
      <c r="A2877" s="630">
        <v>2602840</v>
      </c>
      <c r="B2877" s="623"/>
      <c r="C2877" s="623"/>
      <c r="D2877" s="623"/>
      <c r="E2877" s="627" t="s">
        <v>1174</v>
      </c>
      <c r="F2877" s="631" t="s">
        <v>3799</v>
      </c>
      <c r="G2877" s="661">
        <v>260</v>
      </c>
      <c r="H2877" s="633">
        <v>2840</v>
      </c>
      <c r="I2877" s="618"/>
      <c r="J2877" s="619" t="s">
        <v>1174</v>
      </c>
      <c r="K2877" s="618"/>
      <c r="L2877" s="619">
        <v>95</v>
      </c>
      <c r="M2877" s="620">
        <v>90</v>
      </c>
      <c r="N2877" s="619"/>
      <c r="O2877" s="619">
        <v>20</v>
      </c>
      <c r="P2877" s="619" t="s">
        <v>760</v>
      </c>
      <c r="Q2877" s="662"/>
      <c r="R2877" s="618"/>
      <c r="S2877" s="621" t="s">
        <v>3748</v>
      </c>
      <c r="T2877" s="619" t="s">
        <v>1081</v>
      </c>
    </row>
    <row r="2878" spans="1:20">
      <c r="A2878" s="630">
        <v>2702840</v>
      </c>
      <c r="B2878" s="623"/>
      <c r="C2878" s="623"/>
      <c r="D2878" s="623"/>
      <c r="E2878" s="627" t="s">
        <v>1176</v>
      </c>
      <c r="F2878" s="631" t="s">
        <v>3800</v>
      </c>
      <c r="G2878" s="661">
        <v>270</v>
      </c>
      <c r="H2878" s="633">
        <v>2840</v>
      </c>
      <c r="I2878" s="618"/>
      <c r="J2878" s="619" t="s">
        <v>1176</v>
      </c>
      <c r="K2878" s="618"/>
      <c r="L2878" s="619">
        <v>94</v>
      </c>
      <c r="M2878" s="620">
        <v>89</v>
      </c>
      <c r="N2878" s="619"/>
      <c r="O2878" s="619">
        <v>20</v>
      </c>
      <c r="P2878" s="619" t="s">
        <v>760</v>
      </c>
      <c r="Q2878" s="662"/>
      <c r="R2878" s="618"/>
      <c r="S2878" s="621" t="s">
        <v>3748</v>
      </c>
      <c r="T2878" s="619" t="s">
        <v>1083</v>
      </c>
    </row>
    <row r="2879" spans="1:20">
      <c r="A2879" s="630">
        <v>2812840</v>
      </c>
      <c r="B2879" s="623"/>
      <c r="C2879" s="623"/>
      <c r="D2879" s="623"/>
      <c r="E2879" s="627" t="s">
        <v>1178</v>
      </c>
      <c r="F2879" s="631" t="s">
        <v>3801</v>
      </c>
      <c r="G2879" s="661">
        <v>281</v>
      </c>
      <c r="H2879" s="633">
        <v>2840</v>
      </c>
      <c r="I2879" s="618"/>
      <c r="J2879" s="619" t="s">
        <v>1178</v>
      </c>
      <c r="K2879" s="618"/>
      <c r="L2879" s="619">
        <v>95</v>
      </c>
      <c r="M2879" s="620">
        <v>90</v>
      </c>
      <c r="N2879" s="619"/>
      <c r="O2879" s="619">
        <v>20</v>
      </c>
      <c r="P2879" s="619" t="s">
        <v>760</v>
      </c>
      <c r="Q2879" s="662"/>
      <c r="R2879" s="618"/>
      <c r="S2879" s="621" t="s">
        <v>3748</v>
      </c>
      <c r="T2879" s="619" t="s">
        <v>1085</v>
      </c>
    </row>
    <row r="2880" spans="1:20">
      <c r="A2880" s="630">
        <v>2822840</v>
      </c>
      <c r="B2880" s="623"/>
      <c r="C2880" s="623"/>
      <c r="D2880" s="623"/>
      <c r="E2880" s="627" t="s">
        <v>1180</v>
      </c>
      <c r="F2880" s="631" t="s">
        <v>3802</v>
      </c>
      <c r="G2880" s="661">
        <v>282</v>
      </c>
      <c r="H2880" s="633">
        <v>2840</v>
      </c>
      <c r="I2880" s="618"/>
      <c r="J2880" s="619" t="s">
        <v>1180</v>
      </c>
      <c r="K2880" s="618"/>
      <c r="L2880" s="619">
        <v>95</v>
      </c>
      <c r="M2880" s="620">
        <v>90</v>
      </c>
      <c r="N2880" s="619"/>
      <c r="O2880" s="619">
        <v>20</v>
      </c>
      <c r="P2880" s="619" t="s">
        <v>760</v>
      </c>
      <c r="Q2880" s="662"/>
      <c r="R2880" s="618"/>
      <c r="S2880" s="621" t="s">
        <v>3748</v>
      </c>
      <c r="T2880" s="619" t="s">
        <v>1087</v>
      </c>
    </row>
    <row r="2881" spans="1:20">
      <c r="A2881" s="630">
        <v>2902840</v>
      </c>
      <c r="B2881" s="623"/>
      <c r="C2881" s="623"/>
      <c r="D2881" s="623"/>
      <c r="E2881" s="627" t="s">
        <v>1182</v>
      </c>
      <c r="F2881" s="631" t="s">
        <v>3803</v>
      </c>
      <c r="G2881" s="661">
        <v>290</v>
      </c>
      <c r="H2881" s="633">
        <v>2840</v>
      </c>
      <c r="I2881" s="618"/>
      <c r="J2881" s="619" t="s">
        <v>1182</v>
      </c>
      <c r="K2881" s="618"/>
      <c r="L2881" s="619">
        <v>95</v>
      </c>
      <c r="M2881" s="620">
        <v>90</v>
      </c>
      <c r="N2881" s="619"/>
      <c r="O2881" s="619">
        <v>20</v>
      </c>
      <c r="P2881" s="619" t="s">
        <v>760</v>
      </c>
      <c r="Q2881" s="662"/>
      <c r="R2881" s="618"/>
      <c r="S2881" s="621" t="s">
        <v>3748</v>
      </c>
      <c r="T2881" s="619" t="s">
        <v>1090</v>
      </c>
    </row>
    <row r="2882" spans="1:20">
      <c r="A2882" s="622"/>
      <c r="B2882" s="623"/>
      <c r="C2882" s="629">
        <v>89</v>
      </c>
      <c r="D2882" s="784" t="s">
        <v>3804</v>
      </c>
      <c r="E2882" s="775"/>
      <c r="F2882" s="626"/>
      <c r="G2882" s="623"/>
      <c r="H2882" s="627"/>
      <c r="I2882" s="618"/>
      <c r="J2882" s="618"/>
      <c r="K2882" s="618"/>
      <c r="L2882" s="618"/>
      <c r="M2882" s="618"/>
      <c r="N2882" s="618"/>
      <c r="O2882" s="618"/>
      <c r="P2882" s="618"/>
      <c r="Q2882" s="662"/>
      <c r="R2882" s="618"/>
      <c r="S2882" s="621"/>
      <c r="T2882" s="618"/>
    </row>
    <row r="2883" spans="1:20">
      <c r="A2883" s="622"/>
      <c r="B2883" s="623"/>
      <c r="C2883" s="623"/>
      <c r="D2883" s="623" t="s">
        <v>756</v>
      </c>
      <c r="E2883" s="627" t="s">
        <v>244</v>
      </c>
      <c r="F2883" s="626"/>
      <c r="G2883" s="623"/>
      <c r="H2883" s="627"/>
      <c r="I2883" s="618"/>
      <c r="J2883" s="618"/>
      <c r="K2883" s="618"/>
      <c r="L2883" s="618"/>
      <c r="M2883" s="618"/>
      <c r="N2883" s="618"/>
      <c r="O2883" s="618"/>
      <c r="P2883" s="618"/>
      <c r="Q2883" s="662"/>
      <c r="R2883" s="618"/>
      <c r="S2883" s="621"/>
      <c r="T2883" s="618"/>
    </row>
    <row r="2884" spans="1:20">
      <c r="A2884" s="630">
        <v>1102890</v>
      </c>
      <c r="B2884" s="623"/>
      <c r="C2884" s="623"/>
      <c r="D2884" s="623"/>
      <c r="E2884" s="627" t="s">
        <v>3805</v>
      </c>
      <c r="F2884" s="631" t="s">
        <v>3806</v>
      </c>
      <c r="G2884" s="661">
        <v>110</v>
      </c>
      <c r="H2884" s="633">
        <v>2890</v>
      </c>
      <c r="I2884" s="618"/>
      <c r="J2884" s="619" t="s">
        <v>3805</v>
      </c>
      <c r="K2884" s="618"/>
      <c r="L2884" s="619">
        <v>86</v>
      </c>
      <c r="M2884" s="620">
        <v>81</v>
      </c>
      <c r="N2884" s="619"/>
      <c r="O2884" s="619">
        <v>20</v>
      </c>
      <c r="P2884" s="619" t="s">
        <v>760</v>
      </c>
      <c r="Q2884" s="662"/>
      <c r="R2884" s="618"/>
      <c r="S2884" s="621" t="s">
        <v>3804</v>
      </c>
      <c r="T2884" s="619" t="s">
        <v>3807</v>
      </c>
    </row>
    <row r="2885" spans="1:20">
      <c r="A2885" s="630">
        <v>1202890</v>
      </c>
      <c r="B2885" s="623"/>
      <c r="C2885" s="623"/>
      <c r="D2885" s="623"/>
      <c r="E2885" s="627" t="s">
        <v>3808</v>
      </c>
      <c r="F2885" s="631" t="s">
        <v>3809</v>
      </c>
      <c r="G2885" s="661">
        <v>120</v>
      </c>
      <c r="H2885" s="633">
        <v>2890</v>
      </c>
      <c r="I2885" s="618"/>
      <c r="J2885" s="619" t="s">
        <v>3808</v>
      </c>
      <c r="K2885" s="618"/>
      <c r="L2885" s="619">
        <v>86</v>
      </c>
      <c r="M2885" s="620">
        <v>81</v>
      </c>
      <c r="N2885" s="619"/>
      <c r="O2885" s="619">
        <v>20</v>
      </c>
      <c r="P2885" s="619" t="s">
        <v>760</v>
      </c>
      <c r="Q2885" s="662"/>
      <c r="R2885" s="618"/>
      <c r="S2885" s="621" t="s">
        <v>3804</v>
      </c>
      <c r="T2885" s="619" t="s">
        <v>3810</v>
      </c>
    </row>
    <row r="2886" spans="1:20">
      <c r="A2886" s="630">
        <v>1402890</v>
      </c>
      <c r="B2886" s="623"/>
      <c r="C2886" s="623"/>
      <c r="D2886" s="623"/>
      <c r="E2886" s="627" t="s">
        <v>3811</v>
      </c>
      <c r="F2886" s="631" t="s">
        <v>3812</v>
      </c>
      <c r="G2886" s="661">
        <v>140</v>
      </c>
      <c r="H2886" s="633">
        <v>2890</v>
      </c>
      <c r="I2886" s="618"/>
      <c r="J2886" s="619" t="s">
        <v>3811</v>
      </c>
      <c r="K2886" s="618"/>
      <c r="L2886" s="619">
        <v>86</v>
      </c>
      <c r="M2886" s="620">
        <v>81</v>
      </c>
      <c r="N2886" s="619"/>
      <c r="O2886" s="619">
        <v>20</v>
      </c>
      <c r="P2886" s="619" t="s">
        <v>760</v>
      </c>
      <c r="Q2886" s="662"/>
      <c r="R2886" s="618"/>
      <c r="S2886" s="621" t="s">
        <v>3804</v>
      </c>
      <c r="T2886" s="619" t="s">
        <v>3813</v>
      </c>
    </row>
    <row r="2887" spans="1:20">
      <c r="A2887" s="630">
        <v>1002890</v>
      </c>
      <c r="B2887" s="623"/>
      <c r="C2887" s="623"/>
      <c r="D2887" s="623"/>
      <c r="E2887" s="627" t="s">
        <v>3814</v>
      </c>
      <c r="F2887" s="631" t="s">
        <v>3815</v>
      </c>
      <c r="G2887" s="661">
        <v>100</v>
      </c>
      <c r="H2887" s="633">
        <v>2890</v>
      </c>
      <c r="I2887" s="618"/>
      <c r="J2887" s="619" t="s">
        <v>3814</v>
      </c>
      <c r="K2887" s="618"/>
      <c r="L2887" s="619">
        <v>86</v>
      </c>
      <c r="M2887" s="620">
        <v>81</v>
      </c>
      <c r="N2887" s="619"/>
      <c r="O2887" s="619">
        <v>20</v>
      </c>
      <c r="P2887" s="619" t="s">
        <v>760</v>
      </c>
      <c r="Q2887" s="662"/>
      <c r="R2887" s="618"/>
      <c r="S2887" s="621" t="s">
        <v>3804</v>
      </c>
      <c r="T2887" s="619" t="s">
        <v>3816</v>
      </c>
    </row>
    <row r="2888" spans="1:20">
      <c r="A2888" s="630">
        <v>3002890</v>
      </c>
      <c r="B2888" s="623"/>
      <c r="C2888" s="623"/>
      <c r="D2888" s="623" t="s">
        <v>775</v>
      </c>
      <c r="E2888" s="627" t="s">
        <v>1112</v>
      </c>
      <c r="F2888" s="631" t="s">
        <v>3817</v>
      </c>
      <c r="G2888" s="661">
        <v>300</v>
      </c>
      <c r="H2888" s="633">
        <v>2890</v>
      </c>
      <c r="I2888" s="618"/>
      <c r="J2888" s="619" t="s">
        <v>1112</v>
      </c>
      <c r="K2888" s="618"/>
      <c r="L2888" s="619">
        <v>101</v>
      </c>
      <c r="M2888" s="620">
        <v>96</v>
      </c>
      <c r="N2888" s="619"/>
      <c r="O2888" s="619">
        <v>20</v>
      </c>
      <c r="P2888" s="619" t="s">
        <v>760</v>
      </c>
      <c r="Q2888" s="662"/>
      <c r="R2888" s="618"/>
      <c r="S2888" s="621" t="s">
        <v>3804</v>
      </c>
      <c r="T2888" s="619" t="s">
        <v>1112</v>
      </c>
    </row>
    <row r="2889" spans="1:20">
      <c r="A2889" s="630">
        <v>4002890</v>
      </c>
      <c r="B2889" s="623"/>
      <c r="C2889" s="623"/>
      <c r="D2889" s="623" t="s">
        <v>799</v>
      </c>
      <c r="E2889" s="627" t="s">
        <v>250</v>
      </c>
      <c r="F2889" s="631" t="s">
        <v>3818</v>
      </c>
      <c r="G2889" s="661">
        <v>400</v>
      </c>
      <c r="H2889" s="633">
        <v>2890</v>
      </c>
      <c r="I2889" s="618"/>
      <c r="J2889" s="619" t="s">
        <v>250</v>
      </c>
      <c r="K2889" s="618"/>
      <c r="L2889" s="619">
        <v>108</v>
      </c>
      <c r="M2889" s="620">
        <v>103</v>
      </c>
      <c r="N2889" s="619"/>
      <c r="O2889" s="619">
        <v>20</v>
      </c>
      <c r="P2889" s="619" t="s">
        <v>760</v>
      </c>
      <c r="Q2889" s="662"/>
      <c r="R2889" s="618"/>
      <c r="S2889" s="621" t="s">
        <v>3804</v>
      </c>
      <c r="T2889" s="619" t="s">
        <v>250</v>
      </c>
    </row>
    <row r="2890" spans="1:20">
      <c r="A2890" s="630">
        <v>5002890</v>
      </c>
      <c r="B2890" s="623"/>
      <c r="C2890" s="623"/>
      <c r="D2890" s="623" t="s">
        <v>803</v>
      </c>
      <c r="E2890" s="627" t="s">
        <v>252</v>
      </c>
      <c r="F2890" s="631" t="s">
        <v>3819</v>
      </c>
      <c r="G2890" s="661">
        <v>500</v>
      </c>
      <c r="H2890" s="633">
        <v>2890</v>
      </c>
      <c r="I2890" s="618"/>
      <c r="J2890" s="619" t="s">
        <v>252</v>
      </c>
      <c r="K2890" s="618"/>
      <c r="L2890" s="619">
        <v>119</v>
      </c>
      <c r="M2890" s="620">
        <v>110</v>
      </c>
      <c r="N2890" s="619"/>
      <c r="O2890" s="619">
        <v>20</v>
      </c>
      <c r="P2890" s="619" t="s">
        <v>760</v>
      </c>
      <c r="Q2890" s="662"/>
      <c r="R2890" s="618"/>
      <c r="S2890" s="621" t="s">
        <v>3804</v>
      </c>
      <c r="T2890" s="619" t="s">
        <v>252</v>
      </c>
    </row>
    <row r="2891" spans="1:20">
      <c r="A2891" s="630">
        <v>6002890</v>
      </c>
      <c r="B2891" s="623"/>
      <c r="C2891" s="623"/>
      <c r="D2891" s="623" t="s">
        <v>848</v>
      </c>
      <c r="E2891" s="627" t="s">
        <v>254</v>
      </c>
      <c r="F2891" s="631" t="s">
        <v>3820</v>
      </c>
      <c r="G2891" s="661">
        <v>600</v>
      </c>
      <c r="H2891" s="633">
        <v>2890</v>
      </c>
      <c r="I2891" s="618"/>
      <c r="J2891" s="619" t="s">
        <v>254</v>
      </c>
      <c r="K2891" s="618"/>
      <c r="L2891" s="619">
        <v>126</v>
      </c>
      <c r="M2891" s="620">
        <v>117</v>
      </c>
      <c r="N2891" s="619"/>
      <c r="O2891" s="619">
        <v>20</v>
      </c>
      <c r="P2891" s="619" t="s">
        <v>760</v>
      </c>
      <c r="Q2891" s="662"/>
      <c r="R2891" s="618"/>
      <c r="S2891" s="621" t="s">
        <v>3804</v>
      </c>
      <c r="T2891" s="619" t="s">
        <v>254</v>
      </c>
    </row>
    <row r="2892" spans="1:20">
      <c r="A2892" s="630">
        <v>7002890</v>
      </c>
      <c r="B2892" s="623"/>
      <c r="C2892" s="623"/>
      <c r="D2892" s="623" t="s">
        <v>851</v>
      </c>
      <c r="E2892" s="627" t="s">
        <v>1050</v>
      </c>
      <c r="F2892" s="631" t="s">
        <v>3821</v>
      </c>
      <c r="G2892" s="661">
        <v>700</v>
      </c>
      <c r="H2892" s="633">
        <v>2890</v>
      </c>
      <c r="I2892" s="618"/>
      <c r="J2892" s="619" t="s">
        <v>1050</v>
      </c>
      <c r="K2892" s="618"/>
      <c r="L2892" s="619">
        <v>132</v>
      </c>
      <c r="M2892" s="620">
        <v>123</v>
      </c>
      <c r="N2892" s="619"/>
      <c r="O2892" s="619">
        <v>20</v>
      </c>
      <c r="P2892" s="619" t="s">
        <v>760</v>
      </c>
      <c r="Q2892" s="662"/>
      <c r="R2892" s="618"/>
      <c r="S2892" s="621" t="s">
        <v>3804</v>
      </c>
      <c r="T2892" s="619" t="s">
        <v>1050</v>
      </c>
    </row>
    <row r="2893" spans="1:20">
      <c r="A2893" s="622"/>
      <c r="B2893" s="623"/>
      <c r="C2893" s="623"/>
      <c r="D2893" s="623" t="s">
        <v>854</v>
      </c>
      <c r="E2893" s="627" t="s">
        <v>256</v>
      </c>
      <c r="F2893" s="626"/>
      <c r="G2893" s="623"/>
      <c r="H2893" s="627"/>
      <c r="I2893" s="618"/>
      <c r="J2893" s="618"/>
      <c r="K2893" s="618"/>
      <c r="L2893" s="618"/>
      <c r="M2893" s="618"/>
      <c r="N2893" s="618"/>
      <c r="O2893" s="618"/>
      <c r="P2893" s="618"/>
      <c r="Q2893" s="662"/>
      <c r="R2893" s="618"/>
      <c r="S2893" s="621"/>
      <c r="T2893" s="618"/>
    </row>
    <row r="2894" spans="1:20">
      <c r="A2894" s="630">
        <v>8952890</v>
      </c>
      <c r="B2894" s="623"/>
      <c r="C2894" s="623"/>
      <c r="D2894" s="623"/>
      <c r="E2894" s="627" t="s">
        <v>1154</v>
      </c>
      <c r="F2894" s="631" t="s">
        <v>3822</v>
      </c>
      <c r="G2894" s="661">
        <v>895</v>
      </c>
      <c r="H2894" s="633">
        <v>2890</v>
      </c>
      <c r="I2894" s="618"/>
      <c r="J2894" s="619" t="s">
        <v>1154</v>
      </c>
      <c r="K2894" s="618"/>
      <c r="L2894" s="619">
        <v>139</v>
      </c>
      <c r="M2894" s="620">
        <v>129</v>
      </c>
      <c r="N2894" s="619"/>
      <c r="O2894" s="619">
        <v>20</v>
      </c>
      <c r="P2894" s="619" t="s">
        <v>760</v>
      </c>
      <c r="Q2894" s="662"/>
      <c r="R2894" s="618"/>
      <c r="S2894" s="621" t="s">
        <v>3804</v>
      </c>
      <c r="T2894" s="619" t="s">
        <v>1059</v>
      </c>
    </row>
    <row r="2895" spans="1:20">
      <c r="A2895" s="630">
        <v>8002890</v>
      </c>
      <c r="B2895" s="623"/>
      <c r="C2895" s="623"/>
      <c r="D2895" s="623"/>
      <c r="E2895" s="627" t="s">
        <v>1156</v>
      </c>
      <c r="F2895" s="631" t="s">
        <v>3823</v>
      </c>
      <c r="G2895" s="661">
        <v>800</v>
      </c>
      <c r="H2895" s="633">
        <v>2890</v>
      </c>
      <c r="I2895" s="618"/>
      <c r="J2895" s="619" t="s">
        <v>1156</v>
      </c>
      <c r="K2895" s="618"/>
      <c r="L2895" s="619">
        <v>139</v>
      </c>
      <c r="M2895" s="620">
        <v>129</v>
      </c>
      <c r="N2895" s="619"/>
      <c r="O2895" s="619">
        <v>20</v>
      </c>
      <c r="P2895" s="619" t="s">
        <v>760</v>
      </c>
      <c r="Q2895" s="662"/>
      <c r="R2895" s="618"/>
      <c r="S2895" s="621" t="s">
        <v>3804</v>
      </c>
      <c r="T2895" s="619" t="s">
        <v>1061</v>
      </c>
    </row>
    <row r="2896" spans="1:20">
      <c r="A2896" s="622"/>
      <c r="B2896" s="623"/>
      <c r="C2896" s="623"/>
      <c r="D2896" s="623" t="s">
        <v>857</v>
      </c>
      <c r="E2896" s="627" t="s">
        <v>1063</v>
      </c>
      <c r="F2896" s="626"/>
      <c r="G2896" s="623"/>
      <c r="H2896" s="627"/>
      <c r="I2896" s="618"/>
      <c r="J2896" s="618"/>
      <c r="K2896" s="618"/>
      <c r="L2896" s="618"/>
      <c r="M2896" s="618"/>
      <c r="N2896" s="618"/>
      <c r="O2896" s="618"/>
      <c r="P2896" s="618"/>
      <c r="Q2896" s="662"/>
      <c r="R2896" s="618"/>
      <c r="S2896" s="621"/>
      <c r="T2896" s="618"/>
    </row>
    <row r="2897" spans="1:20">
      <c r="A2897" s="630">
        <v>2102890</v>
      </c>
      <c r="B2897" s="623"/>
      <c r="C2897" s="623"/>
      <c r="D2897" s="623"/>
      <c r="E2897" s="627" t="s">
        <v>1158</v>
      </c>
      <c r="F2897" s="631" t="s">
        <v>3824</v>
      </c>
      <c r="G2897" s="661">
        <v>210</v>
      </c>
      <c r="H2897" s="633">
        <v>2890</v>
      </c>
      <c r="I2897" s="618"/>
      <c r="J2897" s="619" t="s">
        <v>1158</v>
      </c>
      <c r="K2897" s="618"/>
      <c r="L2897" s="619">
        <v>89</v>
      </c>
      <c r="M2897" s="620">
        <v>84</v>
      </c>
      <c r="N2897" s="619"/>
      <c r="O2897" s="619">
        <v>20</v>
      </c>
      <c r="P2897" s="619" t="s">
        <v>760</v>
      </c>
      <c r="Q2897" s="662"/>
      <c r="R2897" s="618"/>
      <c r="S2897" s="621" t="s">
        <v>3804</v>
      </c>
      <c r="T2897" s="619" t="s">
        <v>1064</v>
      </c>
    </row>
    <row r="2898" spans="1:20">
      <c r="A2898" s="630">
        <v>2202890</v>
      </c>
      <c r="B2898" s="623"/>
      <c r="C2898" s="623"/>
      <c r="D2898" s="623"/>
      <c r="E2898" s="627" t="s">
        <v>1160</v>
      </c>
      <c r="F2898" s="631" t="s">
        <v>3825</v>
      </c>
      <c r="G2898" s="661">
        <v>220</v>
      </c>
      <c r="H2898" s="633">
        <v>2890</v>
      </c>
      <c r="I2898" s="618"/>
      <c r="J2898" s="619" t="s">
        <v>1160</v>
      </c>
      <c r="K2898" s="618"/>
      <c r="L2898" s="619">
        <v>90</v>
      </c>
      <c r="M2898" s="620">
        <v>85</v>
      </c>
      <c r="N2898" s="619"/>
      <c r="O2898" s="619">
        <v>20</v>
      </c>
      <c r="P2898" s="619" t="s">
        <v>760</v>
      </c>
      <c r="Q2898" s="662"/>
      <c r="R2898" s="618"/>
      <c r="S2898" s="621" t="s">
        <v>3804</v>
      </c>
      <c r="T2898" s="619" t="s">
        <v>1066</v>
      </c>
    </row>
    <row r="2899" spans="1:20">
      <c r="A2899" s="630">
        <v>2252890</v>
      </c>
      <c r="B2899" s="623"/>
      <c r="C2899" s="623"/>
      <c r="D2899" s="623"/>
      <c r="E2899" s="627" t="s">
        <v>1162</v>
      </c>
      <c r="F2899" s="631" t="s">
        <v>3826</v>
      </c>
      <c r="G2899" s="661">
        <v>225</v>
      </c>
      <c r="H2899" s="633">
        <v>2890</v>
      </c>
      <c r="I2899" s="618"/>
      <c r="J2899" s="619" t="s">
        <v>1162</v>
      </c>
      <c r="K2899" s="618"/>
      <c r="L2899" s="619">
        <v>91</v>
      </c>
      <c r="M2899" s="620">
        <v>86</v>
      </c>
      <c r="N2899" s="619"/>
      <c r="O2899" s="619">
        <v>20</v>
      </c>
      <c r="P2899" s="619" t="s">
        <v>760</v>
      </c>
      <c r="Q2899" s="662"/>
      <c r="R2899" s="618"/>
      <c r="S2899" s="621" t="s">
        <v>3804</v>
      </c>
      <c r="T2899" s="619" t="s">
        <v>23</v>
      </c>
    </row>
    <row r="2900" spans="1:20">
      <c r="A2900" s="622"/>
      <c r="B2900" s="623"/>
      <c r="C2900" s="623"/>
      <c r="D2900" s="623"/>
      <c r="E2900" s="627" t="s">
        <v>1164</v>
      </c>
      <c r="F2900" s="626"/>
      <c r="G2900" s="623"/>
      <c r="H2900" s="627"/>
      <c r="I2900" s="618"/>
      <c r="J2900" s="618"/>
      <c r="K2900" s="618"/>
      <c r="L2900" s="618"/>
      <c r="M2900" s="618"/>
      <c r="N2900" s="618"/>
      <c r="O2900" s="618"/>
      <c r="P2900" s="618"/>
      <c r="Q2900" s="662"/>
      <c r="R2900" s="618"/>
      <c r="S2900" s="621"/>
      <c r="T2900" s="618"/>
    </row>
    <row r="2901" spans="1:20">
      <c r="A2901" s="630">
        <v>2312890</v>
      </c>
      <c r="B2901" s="623"/>
      <c r="C2901" s="623"/>
      <c r="D2901" s="623"/>
      <c r="E2901" s="627" t="s">
        <v>1165</v>
      </c>
      <c r="F2901" s="631" t="s">
        <v>3827</v>
      </c>
      <c r="G2901" s="661">
        <v>231</v>
      </c>
      <c r="H2901" s="633">
        <v>2890</v>
      </c>
      <c r="I2901" s="618"/>
      <c r="J2901" s="619" t="s">
        <v>1165</v>
      </c>
      <c r="K2901" s="618"/>
      <c r="L2901" s="619">
        <v>92</v>
      </c>
      <c r="M2901" s="620">
        <v>87</v>
      </c>
      <c r="N2901" s="619"/>
      <c r="O2901" s="619">
        <v>20</v>
      </c>
      <c r="P2901" s="619" t="s">
        <v>760</v>
      </c>
      <c r="Q2901" s="662"/>
      <c r="R2901" s="618"/>
      <c r="S2901" s="621" t="s">
        <v>3804</v>
      </c>
      <c r="T2901" s="619" t="s">
        <v>1072</v>
      </c>
    </row>
    <row r="2902" spans="1:20">
      <c r="A2902" s="630">
        <v>2332890</v>
      </c>
      <c r="B2902" s="623"/>
      <c r="C2902" s="623"/>
      <c r="D2902" s="623"/>
      <c r="E2902" s="627" t="s">
        <v>1167</v>
      </c>
      <c r="F2902" s="631" t="s">
        <v>3828</v>
      </c>
      <c r="G2902" s="661">
        <v>233</v>
      </c>
      <c r="H2902" s="633">
        <v>2890</v>
      </c>
      <c r="I2902" s="618"/>
      <c r="J2902" s="619" t="s">
        <v>1167</v>
      </c>
      <c r="K2902" s="618"/>
      <c r="L2902" s="619">
        <v>92</v>
      </c>
      <c r="M2902" s="620">
        <v>87</v>
      </c>
      <c r="N2902" s="619"/>
      <c r="O2902" s="619">
        <v>20</v>
      </c>
      <c r="P2902" s="619" t="s">
        <v>760</v>
      </c>
      <c r="Q2902" s="662"/>
      <c r="R2902" s="618"/>
      <c r="S2902" s="621" t="s">
        <v>3804</v>
      </c>
      <c r="T2902" s="619" t="s">
        <v>1169</v>
      </c>
    </row>
    <row r="2903" spans="1:20">
      <c r="A2903" s="630">
        <v>2392890</v>
      </c>
      <c r="B2903" s="623"/>
      <c r="C2903" s="623"/>
      <c r="D2903" s="623"/>
      <c r="E2903" s="627" t="s">
        <v>1170</v>
      </c>
      <c r="F2903" s="631" t="s">
        <v>3829</v>
      </c>
      <c r="G2903" s="661">
        <v>239</v>
      </c>
      <c r="H2903" s="633">
        <v>2890</v>
      </c>
      <c r="I2903" s="618"/>
      <c r="J2903" s="619" t="s">
        <v>1170</v>
      </c>
      <c r="K2903" s="618"/>
      <c r="L2903" s="619">
        <v>92</v>
      </c>
      <c r="M2903" s="620">
        <v>87</v>
      </c>
      <c r="N2903" s="619"/>
      <c r="O2903" s="619">
        <v>20</v>
      </c>
      <c r="P2903" s="619" t="s">
        <v>760</v>
      </c>
      <c r="Q2903" s="662"/>
      <c r="R2903" s="618"/>
      <c r="S2903" s="621" t="s">
        <v>3804</v>
      </c>
      <c r="T2903" s="619" t="s">
        <v>1078</v>
      </c>
    </row>
    <row r="2904" spans="1:20">
      <c r="A2904" s="630">
        <v>2502890</v>
      </c>
      <c r="B2904" s="623"/>
      <c r="C2904" s="623"/>
      <c r="D2904" s="623"/>
      <c r="E2904" s="627" t="s">
        <v>1172</v>
      </c>
      <c r="F2904" s="631" t="s">
        <v>3830</v>
      </c>
      <c r="G2904" s="661">
        <v>250</v>
      </c>
      <c r="H2904" s="633">
        <v>2890</v>
      </c>
      <c r="I2904" s="618"/>
      <c r="J2904" s="619" t="s">
        <v>1172</v>
      </c>
      <c r="K2904" s="618"/>
      <c r="L2904" s="619">
        <v>93</v>
      </c>
      <c r="M2904" s="620">
        <v>88</v>
      </c>
      <c r="N2904" s="619"/>
      <c r="O2904" s="619">
        <v>20</v>
      </c>
      <c r="P2904" s="619" t="s">
        <v>760</v>
      </c>
      <c r="Q2904" s="662"/>
      <c r="R2904" s="618"/>
      <c r="S2904" s="621" t="s">
        <v>3804</v>
      </c>
      <c r="T2904" s="619" t="s">
        <v>1079</v>
      </c>
    </row>
    <row r="2905" spans="1:20">
      <c r="A2905" s="630">
        <v>2602890</v>
      </c>
      <c r="B2905" s="623"/>
      <c r="C2905" s="623"/>
      <c r="D2905" s="623"/>
      <c r="E2905" s="627" t="s">
        <v>1174</v>
      </c>
      <c r="F2905" s="631" t="s">
        <v>3831</v>
      </c>
      <c r="G2905" s="661">
        <v>260</v>
      </c>
      <c r="H2905" s="633">
        <v>2890</v>
      </c>
      <c r="I2905" s="618"/>
      <c r="J2905" s="619" t="s">
        <v>1174</v>
      </c>
      <c r="K2905" s="618"/>
      <c r="L2905" s="619">
        <v>95</v>
      </c>
      <c r="M2905" s="620">
        <v>90</v>
      </c>
      <c r="N2905" s="619"/>
      <c r="O2905" s="619">
        <v>20</v>
      </c>
      <c r="P2905" s="619" t="s">
        <v>760</v>
      </c>
      <c r="Q2905" s="662"/>
      <c r="R2905" s="618"/>
      <c r="S2905" s="621" t="s">
        <v>3804</v>
      </c>
      <c r="T2905" s="619" t="s">
        <v>1081</v>
      </c>
    </row>
    <row r="2906" spans="1:20">
      <c r="A2906" s="630">
        <v>2702890</v>
      </c>
      <c r="B2906" s="623"/>
      <c r="C2906" s="623"/>
      <c r="D2906" s="623"/>
      <c r="E2906" s="627" t="s">
        <v>1176</v>
      </c>
      <c r="F2906" s="631" t="s">
        <v>3832</v>
      </c>
      <c r="G2906" s="661">
        <v>270</v>
      </c>
      <c r="H2906" s="633">
        <v>2890</v>
      </c>
      <c r="I2906" s="618"/>
      <c r="J2906" s="619" t="s">
        <v>1176</v>
      </c>
      <c r="K2906" s="618"/>
      <c r="L2906" s="619">
        <v>94</v>
      </c>
      <c r="M2906" s="620">
        <v>89</v>
      </c>
      <c r="N2906" s="619"/>
      <c r="O2906" s="619">
        <v>20</v>
      </c>
      <c r="P2906" s="619" t="s">
        <v>760</v>
      </c>
      <c r="Q2906" s="662"/>
      <c r="R2906" s="618"/>
      <c r="S2906" s="621" t="s">
        <v>3804</v>
      </c>
      <c r="T2906" s="619" t="s">
        <v>1083</v>
      </c>
    </row>
    <row r="2907" spans="1:20">
      <c r="A2907" s="630">
        <v>2812890</v>
      </c>
      <c r="B2907" s="623"/>
      <c r="C2907" s="623"/>
      <c r="D2907" s="623"/>
      <c r="E2907" s="627" t="s">
        <v>1178</v>
      </c>
      <c r="F2907" s="631" t="s">
        <v>3833</v>
      </c>
      <c r="G2907" s="661">
        <v>281</v>
      </c>
      <c r="H2907" s="633">
        <v>2890</v>
      </c>
      <c r="I2907" s="618"/>
      <c r="J2907" s="619" t="s">
        <v>1178</v>
      </c>
      <c r="K2907" s="618"/>
      <c r="L2907" s="619">
        <v>95</v>
      </c>
      <c r="M2907" s="620">
        <v>90</v>
      </c>
      <c r="N2907" s="619"/>
      <c r="O2907" s="619">
        <v>20</v>
      </c>
      <c r="P2907" s="619" t="s">
        <v>760</v>
      </c>
      <c r="Q2907" s="662"/>
      <c r="R2907" s="618"/>
      <c r="S2907" s="621" t="s">
        <v>3804</v>
      </c>
      <c r="T2907" s="619" t="s">
        <v>1085</v>
      </c>
    </row>
    <row r="2908" spans="1:20">
      <c r="A2908" s="630">
        <v>2822890</v>
      </c>
      <c r="B2908" s="623"/>
      <c r="C2908" s="623"/>
      <c r="D2908" s="623"/>
      <c r="E2908" s="627" t="s">
        <v>1180</v>
      </c>
      <c r="F2908" s="631" t="s">
        <v>3834</v>
      </c>
      <c r="G2908" s="661">
        <v>282</v>
      </c>
      <c r="H2908" s="633">
        <v>2890</v>
      </c>
      <c r="I2908" s="618"/>
      <c r="J2908" s="619" t="s">
        <v>1180</v>
      </c>
      <c r="K2908" s="618"/>
      <c r="L2908" s="619">
        <v>95</v>
      </c>
      <c r="M2908" s="620">
        <v>90</v>
      </c>
      <c r="N2908" s="619"/>
      <c r="O2908" s="619">
        <v>20</v>
      </c>
      <c r="P2908" s="619" t="s">
        <v>760</v>
      </c>
      <c r="Q2908" s="662"/>
      <c r="R2908" s="618"/>
      <c r="S2908" s="621" t="s">
        <v>3804</v>
      </c>
      <c r="T2908" s="619" t="s">
        <v>1087</v>
      </c>
    </row>
    <row r="2909" spans="1:20" ht="16" thickBot="1">
      <c r="A2909" s="630">
        <v>2902890</v>
      </c>
      <c r="B2909" s="667"/>
      <c r="C2909" s="623"/>
      <c r="D2909" s="623"/>
      <c r="E2909" s="627" t="s">
        <v>1182</v>
      </c>
      <c r="F2909" s="631" t="s">
        <v>3835</v>
      </c>
      <c r="G2909" s="661">
        <v>290</v>
      </c>
      <c r="H2909" s="633">
        <v>2890</v>
      </c>
      <c r="I2909" s="618"/>
      <c r="J2909" s="619" t="s">
        <v>1182</v>
      </c>
      <c r="K2909" s="618"/>
      <c r="L2909" s="619">
        <v>95</v>
      </c>
      <c r="M2909" s="620">
        <v>90</v>
      </c>
      <c r="N2909" s="619"/>
      <c r="O2909" s="619">
        <v>20</v>
      </c>
      <c r="P2909" s="619" t="s">
        <v>760</v>
      </c>
      <c r="Q2909" s="662"/>
      <c r="R2909" s="618"/>
      <c r="S2909" s="621" t="s">
        <v>3804</v>
      </c>
      <c r="T2909" s="619" t="s">
        <v>1090</v>
      </c>
    </row>
    <row r="2910" spans="1:20" ht="16.5" thickTop="1" thickBot="1">
      <c r="A2910" s="622"/>
      <c r="B2910" s="613"/>
      <c r="C2910" s="772" t="s">
        <v>3836</v>
      </c>
      <c r="D2910" s="773"/>
      <c r="E2910" s="782"/>
      <c r="F2910" s="656" t="s">
        <v>616</v>
      </c>
      <c r="G2910" s="657"/>
      <c r="H2910" s="658"/>
      <c r="I2910" s="618"/>
      <c r="J2910" s="618"/>
      <c r="K2910" s="618"/>
      <c r="L2910" s="618"/>
      <c r="M2910" s="618"/>
      <c r="N2910" s="618"/>
      <c r="O2910" s="618"/>
      <c r="P2910" s="618"/>
      <c r="Q2910" s="662"/>
      <c r="R2910" s="618"/>
      <c r="S2910" s="621"/>
      <c r="T2910" s="618"/>
    </row>
    <row r="2911" spans="1:20" ht="16.5" thickTop="1" thickBot="1">
      <c r="A2911" s="622"/>
      <c r="B2911" s="788" t="s">
        <v>3837</v>
      </c>
      <c r="C2911" s="789"/>
      <c r="D2911" s="789"/>
      <c r="E2911" s="777"/>
      <c r="F2911" s="660" t="s">
        <v>692</v>
      </c>
      <c r="G2911" s="613"/>
      <c r="H2911" s="614"/>
      <c r="I2911" s="618"/>
      <c r="J2911" s="618"/>
      <c r="K2911" s="618"/>
      <c r="L2911" s="618"/>
      <c r="M2911" s="618"/>
      <c r="N2911" s="618"/>
      <c r="O2911" s="618"/>
      <c r="P2911" s="618"/>
      <c r="Q2911" s="662"/>
      <c r="R2911" s="618"/>
      <c r="S2911" s="621"/>
      <c r="T2911" s="618"/>
    </row>
    <row r="2912" spans="1:20" ht="16" thickTop="1">
      <c r="A2912" s="622"/>
      <c r="B2912" s="623"/>
      <c r="C2912" s="623"/>
      <c r="D2912" s="623"/>
      <c r="E2912" s="627"/>
      <c r="F2912" s="626"/>
      <c r="G2912" s="623"/>
      <c r="H2912" s="627"/>
      <c r="I2912" s="618"/>
      <c r="J2912" s="618"/>
      <c r="K2912" s="618"/>
      <c r="L2912" s="618"/>
      <c r="M2912" s="618"/>
      <c r="N2912" s="618"/>
      <c r="O2912" s="618"/>
      <c r="P2912" s="618"/>
      <c r="Q2912" s="662"/>
      <c r="R2912" s="618"/>
      <c r="S2912" s="621"/>
      <c r="T2912" s="618"/>
    </row>
    <row r="2913" spans="1:20">
      <c r="A2913" s="622"/>
      <c r="B2913" s="783" t="s">
        <v>3838</v>
      </c>
      <c r="C2913" s="771"/>
      <c r="D2913" s="771"/>
      <c r="E2913" s="775"/>
      <c r="F2913" s="626"/>
      <c r="G2913" s="623"/>
      <c r="H2913" s="627"/>
      <c r="I2913" s="618"/>
      <c r="J2913" s="618"/>
      <c r="K2913" s="618"/>
      <c r="L2913" s="618"/>
      <c r="M2913" s="618"/>
      <c r="N2913" s="618"/>
      <c r="O2913" s="618"/>
      <c r="P2913" s="618"/>
      <c r="Q2913" s="662"/>
      <c r="R2913" s="618"/>
      <c r="S2913" s="621"/>
      <c r="T2913" s="618"/>
    </row>
    <row r="2914" spans="1:20">
      <c r="A2914" s="622"/>
      <c r="B2914" s="628" t="s">
        <v>999</v>
      </c>
      <c r="C2914" s="790" t="s">
        <v>694</v>
      </c>
      <c r="D2914" s="771"/>
      <c r="E2914" s="775"/>
      <c r="F2914" s="626"/>
      <c r="G2914" s="623"/>
      <c r="H2914" s="627"/>
      <c r="I2914" s="618"/>
      <c r="J2914" s="618"/>
      <c r="K2914" s="618"/>
      <c r="L2914" s="618"/>
      <c r="M2914" s="618"/>
      <c r="N2914" s="618"/>
      <c r="O2914" s="618"/>
      <c r="P2914" s="618"/>
      <c r="Q2914" s="662"/>
      <c r="R2914" s="618"/>
      <c r="S2914" s="621"/>
      <c r="T2914" s="618"/>
    </row>
    <row r="2915" spans="1:20">
      <c r="A2915" s="622"/>
      <c r="B2915" s="623"/>
      <c r="C2915" s="629">
        <v>90</v>
      </c>
      <c r="D2915" s="774" t="s">
        <v>244</v>
      </c>
      <c r="E2915" s="775"/>
      <c r="F2915" s="626"/>
      <c r="G2915" s="623"/>
      <c r="H2915" s="627"/>
      <c r="I2915" s="618"/>
      <c r="J2915" s="618"/>
      <c r="K2915" s="618"/>
      <c r="L2915" s="618"/>
      <c r="M2915" s="618"/>
      <c r="N2915" s="618"/>
      <c r="O2915" s="618"/>
      <c r="P2915" s="618"/>
      <c r="Q2915" s="662"/>
      <c r="R2915" s="618"/>
      <c r="S2915" s="621"/>
      <c r="T2915" s="618"/>
    </row>
    <row r="2916" spans="1:20">
      <c r="A2916" s="630">
        <v>1113100</v>
      </c>
      <c r="B2916" s="623"/>
      <c r="C2916" s="623"/>
      <c r="D2916" s="623" t="s">
        <v>756</v>
      </c>
      <c r="E2916" s="627" t="s">
        <v>3839</v>
      </c>
      <c r="F2916" s="631" t="s">
        <v>3840</v>
      </c>
      <c r="G2916" s="661">
        <v>111</v>
      </c>
      <c r="H2916" s="633">
        <v>3100</v>
      </c>
      <c r="I2916" s="618"/>
      <c r="J2916" s="619" t="s">
        <v>3839</v>
      </c>
      <c r="K2916" s="618"/>
      <c r="L2916" s="619">
        <v>81</v>
      </c>
      <c r="M2916" s="620">
        <v>76</v>
      </c>
      <c r="N2916" s="619"/>
      <c r="O2916" s="619">
        <v>21</v>
      </c>
      <c r="P2916" s="619" t="s">
        <v>760</v>
      </c>
      <c r="Q2916" s="662" t="s">
        <v>1002</v>
      </c>
      <c r="R2916" s="618"/>
      <c r="S2916" s="621" t="s">
        <v>694</v>
      </c>
      <c r="T2916" s="619" t="s">
        <v>3839</v>
      </c>
    </row>
    <row r="2917" spans="1:20">
      <c r="A2917" s="630">
        <v>1143100</v>
      </c>
      <c r="B2917" s="623"/>
      <c r="C2917" s="623"/>
      <c r="D2917" s="623" t="s">
        <v>775</v>
      </c>
      <c r="E2917" s="627" t="s">
        <v>1853</v>
      </c>
      <c r="F2917" s="631" t="s">
        <v>3841</v>
      </c>
      <c r="G2917" s="661">
        <v>114</v>
      </c>
      <c r="H2917" s="633">
        <v>3100</v>
      </c>
      <c r="I2917" s="618"/>
      <c r="J2917" s="619" t="s">
        <v>1853</v>
      </c>
      <c r="K2917" s="618"/>
      <c r="L2917" s="619">
        <v>84</v>
      </c>
      <c r="M2917" s="620">
        <v>79</v>
      </c>
      <c r="N2917" s="619"/>
      <c r="O2917" s="619">
        <v>21</v>
      </c>
      <c r="P2917" s="619" t="s">
        <v>760</v>
      </c>
      <c r="Q2917" s="662" t="s">
        <v>1002</v>
      </c>
      <c r="R2917" s="618"/>
      <c r="S2917" s="621" t="s">
        <v>694</v>
      </c>
      <c r="T2917" s="619" t="s">
        <v>1853</v>
      </c>
    </row>
    <row r="2918" spans="1:20">
      <c r="A2918" s="630">
        <v>1163100</v>
      </c>
      <c r="B2918" s="623"/>
      <c r="C2918" s="623"/>
      <c r="D2918" s="623" t="s">
        <v>799</v>
      </c>
      <c r="E2918" s="627" t="s">
        <v>3842</v>
      </c>
      <c r="F2918" s="631" t="s">
        <v>3843</v>
      </c>
      <c r="G2918" s="661">
        <v>116</v>
      </c>
      <c r="H2918" s="633">
        <v>3100</v>
      </c>
      <c r="I2918" s="618"/>
      <c r="J2918" s="619" t="s">
        <v>3842</v>
      </c>
      <c r="K2918" s="618"/>
      <c r="L2918" s="619">
        <v>86</v>
      </c>
      <c r="M2918" s="620">
        <v>81</v>
      </c>
      <c r="N2918" s="619"/>
      <c r="O2918" s="619">
        <v>21</v>
      </c>
      <c r="P2918" s="619" t="s">
        <v>760</v>
      </c>
      <c r="Q2918" s="662" t="s">
        <v>1002</v>
      </c>
      <c r="R2918" s="618"/>
      <c r="S2918" s="621" t="s">
        <v>694</v>
      </c>
      <c r="T2918" s="619" t="s">
        <v>3842</v>
      </c>
    </row>
    <row r="2919" spans="1:20">
      <c r="A2919" s="630">
        <v>1173100</v>
      </c>
      <c r="B2919" s="623"/>
      <c r="C2919" s="623"/>
      <c r="D2919" s="623" t="s">
        <v>803</v>
      </c>
      <c r="E2919" s="627" t="s">
        <v>3844</v>
      </c>
      <c r="F2919" s="631" t="s">
        <v>3845</v>
      </c>
      <c r="G2919" s="661">
        <v>117</v>
      </c>
      <c r="H2919" s="633">
        <v>3100</v>
      </c>
      <c r="I2919" s="618"/>
      <c r="J2919" s="619" t="s">
        <v>3844</v>
      </c>
      <c r="K2919" s="618"/>
      <c r="L2919" s="619">
        <v>86</v>
      </c>
      <c r="M2919" s="620">
        <v>81</v>
      </c>
      <c r="N2919" s="619"/>
      <c r="O2919" s="619">
        <v>21</v>
      </c>
      <c r="P2919" s="619" t="s">
        <v>760</v>
      </c>
      <c r="Q2919" s="662" t="s">
        <v>1002</v>
      </c>
      <c r="R2919" s="618"/>
      <c r="S2919" s="621" t="s">
        <v>694</v>
      </c>
      <c r="T2919" s="619" t="s">
        <v>3844</v>
      </c>
    </row>
    <row r="2920" spans="1:20">
      <c r="A2920" s="630">
        <v>1103100</v>
      </c>
      <c r="B2920" s="623"/>
      <c r="C2920" s="623"/>
      <c r="D2920" s="623" t="s">
        <v>848</v>
      </c>
      <c r="E2920" s="627" t="s">
        <v>3152</v>
      </c>
      <c r="F2920" s="631" t="s">
        <v>3846</v>
      </c>
      <c r="G2920" s="661">
        <v>110</v>
      </c>
      <c r="H2920" s="633">
        <v>3100</v>
      </c>
      <c r="I2920" s="618"/>
      <c r="J2920" s="619" t="s">
        <v>3152</v>
      </c>
      <c r="K2920" s="618"/>
      <c r="L2920" s="619">
        <v>86</v>
      </c>
      <c r="M2920" s="620">
        <v>81</v>
      </c>
      <c r="N2920" s="619"/>
      <c r="O2920" s="619">
        <v>21</v>
      </c>
      <c r="P2920" s="619" t="s">
        <v>760</v>
      </c>
      <c r="Q2920" s="662" t="s">
        <v>1002</v>
      </c>
      <c r="R2920" s="618"/>
      <c r="S2920" s="621" t="s">
        <v>694</v>
      </c>
      <c r="T2920" s="619" t="s">
        <v>3152</v>
      </c>
    </row>
    <row r="2921" spans="1:20">
      <c r="A2921" s="630">
        <v>1213100</v>
      </c>
      <c r="B2921" s="623"/>
      <c r="C2921" s="623"/>
      <c r="D2921" s="623" t="s">
        <v>851</v>
      </c>
      <c r="E2921" s="627" t="s">
        <v>3847</v>
      </c>
      <c r="F2921" s="631" t="s">
        <v>3848</v>
      </c>
      <c r="G2921" s="661">
        <v>121</v>
      </c>
      <c r="H2921" s="633">
        <v>3100</v>
      </c>
      <c r="I2921" s="618"/>
      <c r="J2921" s="619" t="s">
        <v>3847</v>
      </c>
      <c r="K2921" s="618"/>
      <c r="L2921" s="619">
        <v>86</v>
      </c>
      <c r="M2921" s="620">
        <v>81</v>
      </c>
      <c r="N2921" s="619"/>
      <c r="O2921" s="619">
        <v>21</v>
      </c>
      <c r="P2921" s="619" t="s">
        <v>760</v>
      </c>
      <c r="Q2921" s="662" t="s">
        <v>1002</v>
      </c>
      <c r="R2921" s="618"/>
      <c r="S2921" s="621" t="s">
        <v>694</v>
      </c>
      <c r="T2921" s="619" t="s">
        <v>3847</v>
      </c>
    </row>
    <row r="2922" spans="1:20">
      <c r="A2922" s="630">
        <v>1243100</v>
      </c>
      <c r="B2922" s="623"/>
      <c r="C2922" s="623"/>
      <c r="D2922" s="623" t="s">
        <v>854</v>
      </c>
      <c r="E2922" s="627" t="s">
        <v>3849</v>
      </c>
      <c r="F2922" s="631" t="s">
        <v>3850</v>
      </c>
      <c r="G2922" s="661">
        <v>124</v>
      </c>
      <c r="H2922" s="633">
        <v>3100</v>
      </c>
      <c r="I2922" s="618"/>
      <c r="J2922" s="619" t="s">
        <v>3849</v>
      </c>
      <c r="K2922" s="618"/>
      <c r="L2922" s="619">
        <v>86</v>
      </c>
      <c r="M2922" s="620">
        <v>81</v>
      </c>
      <c r="N2922" s="619"/>
      <c r="O2922" s="619">
        <v>21</v>
      </c>
      <c r="P2922" s="619" t="s">
        <v>760</v>
      </c>
      <c r="Q2922" s="662" t="s">
        <v>1002</v>
      </c>
      <c r="R2922" s="618"/>
      <c r="S2922" s="621" t="s">
        <v>694</v>
      </c>
      <c r="T2922" s="619" t="s">
        <v>3849</v>
      </c>
    </row>
    <row r="2923" spans="1:20">
      <c r="A2923" s="630">
        <v>1203100</v>
      </c>
      <c r="B2923" s="623"/>
      <c r="C2923" s="623"/>
      <c r="D2923" s="623" t="s">
        <v>857</v>
      </c>
      <c r="E2923" s="627" t="s">
        <v>3851</v>
      </c>
      <c r="F2923" s="631" t="s">
        <v>3852</v>
      </c>
      <c r="G2923" s="661">
        <v>120</v>
      </c>
      <c r="H2923" s="633">
        <v>3100</v>
      </c>
      <c r="I2923" s="618"/>
      <c r="J2923" s="619" t="s">
        <v>3851</v>
      </c>
      <c r="K2923" s="618"/>
      <c r="L2923" s="619">
        <v>86</v>
      </c>
      <c r="M2923" s="620">
        <v>81</v>
      </c>
      <c r="N2923" s="619"/>
      <c r="O2923" s="619">
        <v>21</v>
      </c>
      <c r="P2923" s="619" t="s">
        <v>760</v>
      </c>
      <c r="Q2923" s="662" t="s">
        <v>1002</v>
      </c>
      <c r="R2923" s="618"/>
      <c r="S2923" s="621" t="s">
        <v>694</v>
      </c>
      <c r="T2923" s="619" t="s">
        <v>3851</v>
      </c>
    </row>
    <row r="2924" spans="1:20">
      <c r="A2924" s="630">
        <v>1303100</v>
      </c>
      <c r="B2924" s="623"/>
      <c r="C2924" s="623"/>
      <c r="D2924" s="623" t="s">
        <v>860</v>
      </c>
      <c r="E2924" s="627" t="s">
        <v>3853</v>
      </c>
      <c r="F2924" s="631" t="s">
        <v>3854</v>
      </c>
      <c r="G2924" s="661">
        <v>130</v>
      </c>
      <c r="H2924" s="633">
        <v>3100</v>
      </c>
      <c r="I2924" s="618"/>
      <c r="J2924" s="619" t="s">
        <v>3853</v>
      </c>
      <c r="K2924" s="618"/>
      <c r="L2924" s="619">
        <v>86</v>
      </c>
      <c r="M2924" s="620">
        <v>81</v>
      </c>
      <c r="N2924" s="619"/>
      <c r="O2924" s="619">
        <v>21</v>
      </c>
      <c r="P2924" s="619" t="s">
        <v>760</v>
      </c>
      <c r="Q2924" s="662" t="s">
        <v>1002</v>
      </c>
      <c r="R2924" s="618"/>
      <c r="S2924" s="621" t="s">
        <v>694</v>
      </c>
      <c r="T2924" s="619" t="s">
        <v>3853</v>
      </c>
    </row>
    <row r="2925" spans="1:20">
      <c r="A2925" s="630">
        <v>1503100</v>
      </c>
      <c r="B2925" s="623"/>
      <c r="C2925" s="623"/>
      <c r="D2925" s="623" t="s">
        <v>1089</v>
      </c>
      <c r="E2925" s="627" t="s">
        <v>2562</v>
      </c>
      <c r="F2925" s="631" t="s">
        <v>3855</v>
      </c>
      <c r="G2925" s="661">
        <v>150</v>
      </c>
      <c r="H2925" s="633">
        <v>3100</v>
      </c>
      <c r="I2925" s="618"/>
      <c r="J2925" s="619" t="s">
        <v>2562</v>
      </c>
      <c r="K2925" s="618"/>
      <c r="L2925" s="619">
        <v>86</v>
      </c>
      <c r="M2925" s="620">
        <v>81</v>
      </c>
      <c r="N2925" s="619"/>
      <c r="O2925" s="619">
        <v>21</v>
      </c>
      <c r="P2925" s="619" t="s">
        <v>760</v>
      </c>
      <c r="Q2925" s="662" t="s">
        <v>1002</v>
      </c>
      <c r="R2925" s="618"/>
      <c r="S2925" s="621" t="s">
        <v>694</v>
      </c>
      <c r="T2925" s="619" t="s">
        <v>2562</v>
      </c>
    </row>
    <row r="2926" spans="1:20">
      <c r="A2926" s="630">
        <v>1003100</v>
      </c>
      <c r="B2926" s="623"/>
      <c r="C2926" s="623"/>
      <c r="D2926" s="623" t="s">
        <v>1246</v>
      </c>
      <c r="E2926" s="627" t="s">
        <v>3856</v>
      </c>
      <c r="F2926" s="631" t="s">
        <v>3857</v>
      </c>
      <c r="G2926" s="661">
        <v>100</v>
      </c>
      <c r="H2926" s="633">
        <v>3100</v>
      </c>
      <c r="I2926" s="618"/>
      <c r="J2926" s="619" t="s">
        <v>3856</v>
      </c>
      <c r="K2926" s="618"/>
      <c r="L2926" s="619">
        <v>86</v>
      </c>
      <c r="M2926" s="620">
        <v>81</v>
      </c>
      <c r="N2926" s="619"/>
      <c r="O2926" s="619">
        <v>21</v>
      </c>
      <c r="P2926" s="619" t="s">
        <v>760</v>
      </c>
      <c r="Q2926" s="662" t="s">
        <v>1002</v>
      </c>
      <c r="R2926" s="618"/>
      <c r="S2926" s="621" t="s">
        <v>694</v>
      </c>
      <c r="T2926" s="619" t="s">
        <v>3856</v>
      </c>
    </row>
    <row r="2927" spans="1:20">
      <c r="A2927" s="622"/>
      <c r="B2927" s="623"/>
      <c r="C2927" s="629">
        <v>91</v>
      </c>
      <c r="D2927" s="784" t="s">
        <v>1112</v>
      </c>
      <c r="E2927" s="775"/>
      <c r="F2927" s="626"/>
      <c r="G2927" s="623"/>
      <c r="H2927" s="627"/>
      <c r="I2927" s="618"/>
      <c r="J2927" s="618"/>
      <c r="K2927" s="618"/>
      <c r="L2927" s="618"/>
      <c r="M2927" s="618"/>
      <c r="N2927" s="618"/>
      <c r="O2927" s="618"/>
      <c r="P2927" s="618"/>
      <c r="Q2927" s="662"/>
      <c r="R2927" s="618"/>
      <c r="S2927" s="621"/>
      <c r="T2927" s="618"/>
    </row>
    <row r="2928" spans="1:20">
      <c r="A2928" s="630">
        <v>3203100</v>
      </c>
      <c r="B2928" s="623"/>
      <c r="C2928" s="623"/>
      <c r="D2928" s="623" t="s">
        <v>756</v>
      </c>
      <c r="E2928" s="627" t="s">
        <v>3858</v>
      </c>
      <c r="F2928" s="631" t="s">
        <v>3859</v>
      </c>
      <c r="G2928" s="661">
        <v>320</v>
      </c>
      <c r="H2928" s="633">
        <v>3100</v>
      </c>
      <c r="I2928" s="618"/>
      <c r="J2928" s="619" t="s">
        <v>3858</v>
      </c>
      <c r="K2928" s="618"/>
      <c r="L2928" s="619">
        <v>101</v>
      </c>
      <c r="M2928" s="620">
        <v>96</v>
      </c>
      <c r="N2928" s="619"/>
      <c r="O2928" s="619">
        <v>21</v>
      </c>
      <c r="P2928" s="619" t="s">
        <v>760</v>
      </c>
      <c r="Q2928" s="662"/>
      <c r="R2928" s="618"/>
      <c r="S2928" s="621" t="s">
        <v>694</v>
      </c>
      <c r="T2928" s="619" t="s">
        <v>3858</v>
      </c>
    </row>
    <row r="2929" spans="1:20">
      <c r="A2929" s="622"/>
      <c r="B2929" s="623"/>
      <c r="C2929" s="623"/>
      <c r="D2929" s="623" t="s">
        <v>775</v>
      </c>
      <c r="E2929" s="627" t="s">
        <v>3860</v>
      </c>
      <c r="F2929" s="626"/>
      <c r="G2929" s="623"/>
      <c r="H2929" s="627"/>
      <c r="I2929" s="618"/>
      <c r="J2929" s="618"/>
      <c r="K2929" s="618"/>
      <c r="L2929" s="618"/>
      <c r="M2929" s="618"/>
      <c r="N2929" s="618"/>
      <c r="O2929" s="618"/>
      <c r="P2929" s="618"/>
      <c r="Q2929" s="662"/>
      <c r="R2929" s="618"/>
      <c r="S2929" s="621"/>
      <c r="T2929" s="618"/>
    </row>
    <row r="2930" spans="1:20">
      <c r="A2930" s="630">
        <v>3323100</v>
      </c>
      <c r="B2930" s="623"/>
      <c r="C2930" s="623"/>
      <c r="D2930" s="623"/>
      <c r="E2930" s="627" t="s">
        <v>3861</v>
      </c>
      <c r="F2930" s="631" t="s">
        <v>3862</v>
      </c>
      <c r="G2930" s="661">
        <v>332</v>
      </c>
      <c r="H2930" s="633">
        <v>3100</v>
      </c>
      <c r="I2930" s="618"/>
      <c r="J2930" s="619" t="s">
        <v>3861</v>
      </c>
      <c r="K2930" s="618"/>
      <c r="L2930" s="619">
        <v>98</v>
      </c>
      <c r="M2930" s="620">
        <v>93</v>
      </c>
      <c r="N2930" s="619"/>
      <c r="O2930" s="619">
        <v>21</v>
      </c>
      <c r="P2930" s="619" t="s">
        <v>760</v>
      </c>
      <c r="Q2930" s="662"/>
      <c r="R2930" s="618"/>
      <c r="S2930" s="621" t="s">
        <v>694</v>
      </c>
      <c r="T2930" s="619" t="s">
        <v>12</v>
      </c>
    </row>
    <row r="2931" spans="1:20">
      <c r="A2931" s="630">
        <v>3333100</v>
      </c>
      <c r="B2931" s="623"/>
      <c r="C2931" s="623"/>
      <c r="D2931" s="623"/>
      <c r="E2931" s="627" t="s">
        <v>3863</v>
      </c>
      <c r="F2931" s="631" t="s">
        <v>3864</v>
      </c>
      <c r="G2931" s="661">
        <v>333</v>
      </c>
      <c r="H2931" s="633">
        <v>3100</v>
      </c>
      <c r="I2931" s="618"/>
      <c r="J2931" s="619" t="s">
        <v>3863</v>
      </c>
      <c r="K2931" s="618"/>
      <c r="L2931" s="619">
        <v>99</v>
      </c>
      <c r="M2931" s="620">
        <v>94</v>
      </c>
      <c r="N2931" s="619"/>
      <c r="O2931" s="619">
        <v>21</v>
      </c>
      <c r="P2931" s="619" t="s">
        <v>760</v>
      </c>
      <c r="Q2931" s="662"/>
      <c r="R2931" s="618"/>
      <c r="S2931" s="621" t="s">
        <v>694</v>
      </c>
      <c r="T2931" s="619" t="s">
        <v>3865</v>
      </c>
    </row>
    <row r="2932" spans="1:20">
      <c r="A2932" s="630">
        <v>3393100</v>
      </c>
      <c r="B2932" s="623"/>
      <c r="C2932" s="623"/>
      <c r="D2932" s="623"/>
      <c r="E2932" s="627" t="s">
        <v>3866</v>
      </c>
      <c r="F2932" s="631" t="s">
        <v>3867</v>
      </c>
      <c r="G2932" s="661">
        <v>339</v>
      </c>
      <c r="H2932" s="633">
        <v>3100</v>
      </c>
      <c r="I2932" s="618"/>
      <c r="J2932" s="619" t="s">
        <v>3866</v>
      </c>
      <c r="K2932" s="618"/>
      <c r="L2932" s="619">
        <v>101</v>
      </c>
      <c r="M2932" s="620">
        <v>96</v>
      </c>
      <c r="N2932" s="619"/>
      <c r="O2932" s="619">
        <v>21</v>
      </c>
      <c r="P2932" s="619" t="s">
        <v>760</v>
      </c>
      <c r="Q2932" s="662"/>
      <c r="R2932" s="618"/>
      <c r="S2932" s="621" t="s">
        <v>694</v>
      </c>
      <c r="T2932" s="619" t="s">
        <v>3868</v>
      </c>
    </row>
    <row r="2933" spans="1:20">
      <c r="A2933" s="630">
        <v>3003100</v>
      </c>
      <c r="B2933" s="623"/>
      <c r="C2933" s="623"/>
      <c r="D2933" s="623" t="s">
        <v>799</v>
      </c>
      <c r="E2933" s="627" t="s">
        <v>3869</v>
      </c>
      <c r="F2933" s="631" t="s">
        <v>3870</v>
      </c>
      <c r="G2933" s="661">
        <v>300</v>
      </c>
      <c r="H2933" s="633">
        <v>3100</v>
      </c>
      <c r="I2933" s="618"/>
      <c r="J2933" s="619" t="s">
        <v>3869</v>
      </c>
      <c r="K2933" s="618"/>
      <c r="L2933" s="619">
        <v>101</v>
      </c>
      <c r="M2933" s="620">
        <v>96</v>
      </c>
      <c r="N2933" s="619"/>
      <c r="O2933" s="619">
        <v>21</v>
      </c>
      <c r="P2933" s="619" t="s">
        <v>760</v>
      </c>
      <c r="Q2933" s="662"/>
      <c r="R2933" s="618"/>
      <c r="S2933" s="621" t="s">
        <v>694</v>
      </c>
      <c r="T2933" s="619" t="s">
        <v>3869</v>
      </c>
    </row>
    <row r="2934" spans="1:20">
      <c r="A2934" s="622"/>
      <c r="B2934" s="623"/>
      <c r="C2934" s="629">
        <v>92</v>
      </c>
      <c r="D2934" s="774" t="s">
        <v>250</v>
      </c>
      <c r="E2934" s="775"/>
      <c r="F2934" s="626"/>
      <c r="G2934" s="623"/>
      <c r="H2934" s="627"/>
      <c r="I2934" s="618"/>
      <c r="J2934" s="618"/>
      <c r="K2934" s="618"/>
      <c r="L2934" s="618"/>
      <c r="M2934" s="618"/>
      <c r="N2934" s="618"/>
      <c r="O2934" s="618"/>
      <c r="P2934" s="618"/>
      <c r="Q2934" s="662"/>
      <c r="R2934" s="618"/>
      <c r="S2934" s="621"/>
      <c r="T2934" s="618"/>
    </row>
    <row r="2935" spans="1:20">
      <c r="A2935" s="630">
        <v>4113100</v>
      </c>
      <c r="B2935" s="623"/>
      <c r="C2935" s="623"/>
      <c r="D2935" s="623" t="s">
        <v>756</v>
      </c>
      <c r="E2935" s="627" t="s">
        <v>3871</v>
      </c>
      <c r="F2935" s="631" t="s">
        <v>3872</v>
      </c>
      <c r="G2935" s="661">
        <v>411</v>
      </c>
      <c r="H2935" s="633">
        <v>3100</v>
      </c>
      <c r="I2935" s="618"/>
      <c r="J2935" s="619" t="s">
        <v>3871</v>
      </c>
      <c r="K2935" s="618"/>
      <c r="L2935" s="619">
        <v>104</v>
      </c>
      <c r="M2935" s="620">
        <v>99</v>
      </c>
      <c r="N2935" s="619"/>
      <c r="O2935" s="619">
        <v>21</v>
      </c>
      <c r="P2935" s="619" t="s">
        <v>760</v>
      </c>
      <c r="Q2935" s="662"/>
      <c r="R2935" s="618"/>
      <c r="S2935" s="621" t="s">
        <v>694</v>
      </c>
      <c r="T2935" s="619" t="s">
        <v>3871</v>
      </c>
    </row>
    <row r="2936" spans="1:20">
      <c r="A2936" s="622"/>
      <c r="B2936" s="623"/>
      <c r="C2936" s="623"/>
      <c r="D2936" s="623" t="s">
        <v>775</v>
      </c>
      <c r="E2936" s="627" t="s">
        <v>3873</v>
      </c>
      <c r="F2936" s="626"/>
      <c r="G2936" s="623"/>
      <c r="H2936" s="627"/>
      <c r="I2936" s="618"/>
      <c r="J2936" s="618"/>
      <c r="K2936" s="618"/>
      <c r="L2936" s="618"/>
      <c r="M2936" s="618"/>
      <c r="N2936" s="618"/>
      <c r="O2936" s="618"/>
      <c r="P2936" s="618"/>
      <c r="Q2936" s="662"/>
      <c r="R2936" s="618"/>
      <c r="S2936" s="621"/>
      <c r="T2936" s="618"/>
    </row>
    <row r="2937" spans="1:20">
      <c r="A2937" s="630">
        <v>4213100</v>
      </c>
      <c r="B2937" s="623"/>
      <c r="C2937" s="623"/>
      <c r="D2937" s="623"/>
      <c r="E2937" s="627" t="s">
        <v>3874</v>
      </c>
      <c r="F2937" s="631" t="s">
        <v>3875</v>
      </c>
      <c r="G2937" s="661">
        <v>421</v>
      </c>
      <c r="H2937" s="633">
        <v>3100</v>
      </c>
      <c r="I2937" s="618"/>
      <c r="J2937" s="619" t="s">
        <v>3874</v>
      </c>
      <c r="K2937" s="618"/>
      <c r="L2937" s="619">
        <v>108</v>
      </c>
      <c r="M2937" s="620">
        <v>103</v>
      </c>
      <c r="N2937" s="619"/>
      <c r="O2937" s="619">
        <v>21</v>
      </c>
      <c r="P2937" s="619" t="s">
        <v>760</v>
      </c>
      <c r="Q2937" s="662"/>
      <c r="R2937" s="618"/>
      <c r="S2937" s="621" t="s">
        <v>694</v>
      </c>
      <c r="T2937" s="619" t="s">
        <v>3401</v>
      </c>
    </row>
    <row r="2938" spans="1:20">
      <c r="A2938" s="630">
        <v>4233100</v>
      </c>
      <c r="B2938" s="623"/>
      <c r="C2938" s="623"/>
      <c r="D2938" s="623"/>
      <c r="E2938" s="627" t="s">
        <v>3876</v>
      </c>
      <c r="F2938" s="631" t="s">
        <v>3877</v>
      </c>
      <c r="G2938" s="661">
        <v>423</v>
      </c>
      <c r="H2938" s="633">
        <v>3100</v>
      </c>
      <c r="I2938" s="618"/>
      <c r="J2938" s="619" t="s">
        <v>3876</v>
      </c>
      <c r="K2938" s="618"/>
      <c r="L2938" s="619">
        <v>108</v>
      </c>
      <c r="M2938" s="620">
        <v>103</v>
      </c>
      <c r="N2938" s="619"/>
      <c r="O2938" s="619">
        <v>21</v>
      </c>
      <c r="P2938" s="619" t="s">
        <v>760</v>
      </c>
      <c r="Q2938" s="662"/>
      <c r="R2938" s="618"/>
      <c r="S2938" s="621" t="s">
        <v>694</v>
      </c>
      <c r="T2938" s="619" t="s">
        <v>3404</v>
      </c>
    </row>
    <row r="2939" spans="1:20">
      <c r="A2939" s="630">
        <v>4303100</v>
      </c>
      <c r="B2939" s="623"/>
      <c r="C2939" s="623"/>
      <c r="D2939" s="623" t="s">
        <v>799</v>
      </c>
      <c r="E2939" s="627" t="s">
        <v>1021</v>
      </c>
      <c r="F2939" s="631" t="s">
        <v>3878</v>
      </c>
      <c r="G2939" s="661">
        <v>430</v>
      </c>
      <c r="H2939" s="633">
        <v>3100</v>
      </c>
      <c r="I2939" s="618"/>
      <c r="J2939" s="619" t="s">
        <v>1021</v>
      </c>
      <c r="K2939" s="618"/>
      <c r="L2939" s="619">
        <v>107</v>
      </c>
      <c r="M2939" s="620">
        <v>102</v>
      </c>
      <c r="N2939" s="619"/>
      <c r="O2939" s="619">
        <v>21</v>
      </c>
      <c r="P2939" s="619" t="s">
        <v>760</v>
      </c>
      <c r="Q2939" s="662"/>
      <c r="R2939" s="618"/>
      <c r="S2939" s="621" t="s">
        <v>694</v>
      </c>
      <c r="T2939" s="619" t="s">
        <v>1021</v>
      </c>
    </row>
    <row r="2940" spans="1:20">
      <c r="A2940" s="630">
        <v>4413100</v>
      </c>
      <c r="B2940" s="623"/>
      <c r="C2940" s="623"/>
      <c r="D2940" s="623" t="s">
        <v>803</v>
      </c>
      <c r="E2940" s="627" t="s">
        <v>3879</v>
      </c>
      <c r="F2940" s="631" t="s">
        <v>3880</v>
      </c>
      <c r="G2940" s="661">
        <v>441</v>
      </c>
      <c r="H2940" s="633">
        <v>3100</v>
      </c>
      <c r="I2940" s="618"/>
      <c r="J2940" s="619" t="s">
        <v>3879</v>
      </c>
      <c r="K2940" s="618"/>
      <c r="L2940" s="619">
        <v>105</v>
      </c>
      <c r="M2940" s="620">
        <v>100</v>
      </c>
      <c r="N2940" s="619"/>
      <c r="O2940" s="619">
        <v>21</v>
      </c>
      <c r="P2940" s="619" t="s">
        <v>760</v>
      </c>
      <c r="Q2940" s="662"/>
      <c r="R2940" s="618"/>
      <c r="S2940" s="621" t="s">
        <v>694</v>
      </c>
      <c r="T2940" s="619" t="s">
        <v>3879</v>
      </c>
    </row>
    <row r="2941" spans="1:20">
      <c r="A2941" s="630">
        <v>4423100</v>
      </c>
      <c r="B2941" s="623"/>
      <c r="C2941" s="623"/>
      <c r="D2941" s="623" t="s">
        <v>848</v>
      </c>
      <c r="E2941" s="627" t="s">
        <v>1383</v>
      </c>
      <c r="F2941" s="631" t="s">
        <v>3881</v>
      </c>
      <c r="G2941" s="661">
        <v>442</v>
      </c>
      <c r="H2941" s="633">
        <v>3100</v>
      </c>
      <c r="I2941" s="618"/>
      <c r="J2941" s="619" t="s">
        <v>1383</v>
      </c>
      <c r="K2941" s="618"/>
      <c r="L2941" s="619">
        <v>106</v>
      </c>
      <c r="M2941" s="620">
        <v>101</v>
      </c>
      <c r="N2941" s="619"/>
      <c r="O2941" s="619">
        <v>21</v>
      </c>
      <c r="P2941" s="619" t="s">
        <v>760</v>
      </c>
      <c r="Q2941" s="662"/>
      <c r="R2941" s="618"/>
      <c r="S2941" s="621" t="s">
        <v>694</v>
      </c>
      <c r="T2941" s="619" t="s">
        <v>1383</v>
      </c>
    </row>
    <row r="2942" spans="1:20">
      <c r="A2942" s="630">
        <v>4003100</v>
      </c>
      <c r="B2942" s="623"/>
      <c r="C2942" s="623"/>
      <c r="D2942" s="623" t="s">
        <v>851</v>
      </c>
      <c r="E2942" s="627" t="s">
        <v>1025</v>
      </c>
      <c r="F2942" s="631" t="s">
        <v>3882</v>
      </c>
      <c r="G2942" s="661">
        <v>400</v>
      </c>
      <c r="H2942" s="633">
        <v>3100</v>
      </c>
      <c r="I2942" s="618"/>
      <c r="J2942" s="619" t="s">
        <v>1025</v>
      </c>
      <c r="K2942" s="618"/>
      <c r="L2942" s="619">
        <v>108</v>
      </c>
      <c r="M2942" s="620">
        <v>103</v>
      </c>
      <c r="N2942" s="619"/>
      <c r="O2942" s="619">
        <v>21</v>
      </c>
      <c r="P2942" s="619" t="s">
        <v>760</v>
      </c>
      <c r="Q2942" s="662"/>
      <c r="R2942" s="618"/>
      <c r="S2942" s="621" t="s">
        <v>694</v>
      </c>
      <c r="T2942" s="619" t="s">
        <v>1025</v>
      </c>
    </row>
    <row r="2943" spans="1:20">
      <c r="A2943" s="622"/>
      <c r="B2943" s="623"/>
      <c r="C2943" s="629">
        <v>93</v>
      </c>
      <c r="D2943" s="774" t="s">
        <v>252</v>
      </c>
      <c r="E2943" s="775"/>
      <c r="F2943" s="626"/>
      <c r="G2943" s="623"/>
      <c r="H2943" s="627"/>
      <c r="I2943" s="618"/>
      <c r="J2943" s="618"/>
      <c r="K2943" s="618"/>
      <c r="L2943" s="618"/>
      <c r="M2943" s="618"/>
      <c r="N2943" s="618"/>
      <c r="O2943" s="618"/>
      <c r="P2943" s="618"/>
      <c r="Q2943" s="662"/>
      <c r="R2943" s="618"/>
      <c r="S2943" s="621"/>
      <c r="T2943" s="618"/>
    </row>
    <row r="2944" spans="1:20">
      <c r="A2944" s="622"/>
      <c r="B2944" s="623"/>
      <c r="C2944" s="623"/>
      <c r="D2944" s="623" t="s">
        <v>756</v>
      </c>
      <c r="E2944" s="627" t="s">
        <v>3883</v>
      </c>
      <c r="F2944" s="626"/>
      <c r="G2944" s="623"/>
      <c r="H2944" s="627"/>
      <c r="I2944" s="618"/>
      <c r="J2944" s="618"/>
      <c r="K2944" s="618"/>
      <c r="L2944" s="618"/>
      <c r="M2944" s="618"/>
      <c r="N2944" s="618"/>
      <c r="O2944" s="618"/>
      <c r="P2944" s="618"/>
      <c r="Q2944" s="662"/>
      <c r="R2944" s="618"/>
      <c r="S2944" s="621"/>
      <c r="T2944" s="618"/>
    </row>
    <row r="2945" spans="1:20">
      <c r="A2945" s="630">
        <v>5213100</v>
      </c>
      <c r="B2945" s="623"/>
      <c r="C2945" s="623"/>
      <c r="D2945" s="623"/>
      <c r="E2945" s="627" t="s">
        <v>3884</v>
      </c>
      <c r="F2945" s="631" t="s">
        <v>3885</v>
      </c>
      <c r="G2945" s="661">
        <v>521</v>
      </c>
      <c r="H2945" s="633">
        <v>3100</v>
      </c>
      <c r="I2945" s="618"/>
      <c r="J2945" s="619" t="s">
        <v>3884</v>
      </c>
      <c r="K2945" s="618"/>
      <c r="L2945" s="619">
        <v>113</v>
      </c>
      <c r="M2945" s="620">
        <v>107</v>
      </c>
      <c r="N2945" s="619"/>
      <c r="O2945" s="619">
        <v>21</v>
      </c>
      <c r="P2945" s="619" t="s">
        <v>760</v>
      </c>
      <c r="Q2945" s="662"/>
      <c r="R2945" s="618"/>
      <c r="S2945" s="621" t="s">
        <v>694</v>
      </c>
      <c r="T2945" s="619" t="s">
        <v>3010</v>
      </c>
    </row>
    <row r="2946" spans="1:20">
      <c r="A2946" s="630">
        <v>5223100</v>
      </c>
      <c r="B2946" s="623"/>
      <c r="C2946" s="623"/>
      <c r="D2946" s="623"/>
      <c r="E2946" s="627" t="s">
        <v>3886</v>
      </c>
      <c r="F2946" s="631" t="s">
        <v>3887</v>
      </c>
      <c r="G2946" s="661">
        <v>522</v>
      </c>
      <c r="H2946" s="633">
        <v>3100</v>
      </c>
      <c r="I2946" s="618"/>
      <c r="J2946" s="619" t="s">
        <v>3886</v>
      </c>
      <c r="K2946" s="618"/>
      <c r="L2946" s="619">
        <v>112</v>
      </c>
      <c r="M2946" s="620">
        <v>107</v>
      </c>
      <c r="N2946" s="619"/>
      <c r="O2946" s="619">
        <v>21</v>
      </c>
      <c r="P2946" s="619" t="s">
        <v>760</v>
      </c>
      <c r="Q2946" s="662"/>
      <c r="R2946" s="618"/>
      <c r="S2946" s="621" t="s">
        <v>694</v>
      </c>
      <c r="T2946" s="619" t="s">
        <v>146</v>
      </c>
    </row>
    <row r="2947" spans="1:20">
      <c r="A2947" s="630">
        <v>5233100</v>
      </c>
      <c r="B2947" s="623"/>
      <c r="C2947" s="623"/>
      <c r="D2947" s="623"/>
      <c r="E2947" s="627" t="s">
        <v>3888</v>
      </c>
      <c r="F2947" s="631" t="s">
        <v>3889</v>
      </c>
      <c r="G2947" s="661">
        <v>523</v>
      </c>
      <c r="H2947" s="633">
        <v>3100</v>
      </c>
      <c r="I2947" s="618"/>
      <c r="J2947" s="619" t="s">
        <v>3888</v>
      </c>
      <c r="K2947" s="618"/>
      <c r="L2947" s="619">
        <v>114</v>
      </c>
      <c r="M2947" s="620">
        <v>107</v>
      </c>
      <c r="N2947" s="619"/>
      <c r="O2947" s="619">
        <v>21</v>
      </c>
      <c r="P2947" s="619" t="s">
        <v>760</v>
      </c>
      <c r="Q2947" s="662"/>
      <c r="R2947" s="618"/>
      <c r="S2947" s="621" t="s">
        <v>694</v>
      </c>
      <c r="T2947" s="619" t="s">
        <v>1387</v>
      </c>
    </row>
    <row r="2948" spans="1:20">
      <c r="A2948" s="630">
        <v>5243100</v>
      </c>
      <c r="B2948" s="623"/>
      <c r="C2948" s="623"/>
      <c r="D2948" s="623"/>
      <c r="E2948" s="627" t="s">
        <v>3890</v>
      </c>
      <c r="F2948" s="631" t="s">
        <v>3891</v>
      </c>
      <c r="G2948" s="661">
        <v>524</v>
      </c>
      <c r="H2948" s="633">
        <v>3100</v>
      </c>
      <c r="I2948" s="618"/>
      <c r="J2948" s="619" t="s">
        <v>3890</v>
      </c>
      <c r="K2948" s="618"/>
      <c r="L2948" s="619">
        <v>115</v>
      </c>
      <c r="M2948" s="620">
        <v>107</v>
      </c>
      <c r="N2948" s="619"/>
      <c r="O2948" s="619">
        <v>21</v>
      </c>
      <c r="P2948" s="619" t="s">
        <v>760</v>
      </c>
      <c r="Q2948" s="662"/>
      <c r="R2948" s="618"/>
      <c r="S2948" s="621" t="s">
        <v>694</v>
      </c>
      <c r="T2948" s="619" t="s">
        <v>3892</v>
      </c>
    </row>
    <row r="2949" spans="1:20">
      <c r="A2949" s="630">
        <v>5253100</v>
      </c>
      <c r="B2949" s="623"/>
      <c r="C2949" s="623"/>
      <c r="D2949" s="623"/>
      <c r="E2949" s="627" t="s">
        <v>3893</v>
      </c>
      <c r="F2949" s="631" t="s">
        <v>3894</v>
      </c>
      <c r="G2949" s="661">
        <v>525</v>
      </c>
      <c r="H2949" s="633">
        <v>3100</v>
      </c>
      <c r="I2949" s="618"/>
      <c r="J2949" s="619" t="s">
        <v>3893</v>
      </c>
      <c r="K2949" s="618"/>
      <c r="L2949" s="619">
        <v>116</v>
      </c>
      <c r="M2949" s="620">
        <v>107</v>
      </c>
      <c r="N2949" s="619"/>
      <c r="O2949" s="619">
        <v>21</v>
      </c>
      <c r="P2949" s="619" t="s">
        <v>760</v>
      </c>
      <c r="Q2949" s="662"/>
      <c r="R2949" s="618"/>
      <c r="S2949" s="621" t="s">
        <v>694</v>
      </c>
      <c r="T2949" s="619" t="s">
        <v>3895</v>
      </c>
    </row>
    <row r="2950" spans="1:20">
      <c r="A2950" s="630">
        <v>5293100</v>
      </c>
      <c r="B2950" s="623"/>
      <c r="C2950" s="623"/>
      <c r="D2950" s="623"/>
      <c r="E2950" s="627" t="s">
        <v>3896</v>
      </c>
      <c r="F2950" s="631" t="s">
        <v>3897</v>
      </c>
      <c r="G2950" s="661">
        <v>529</v>
      </c>
      <c r="H2950" s="633">
        <v>3100</v>
      </c>
      <c r="I2950" s="618"/>
      <c r="J2950" s="619" t="s">
        <v>3896</v>
      </c>
      <c r="K2950" s="618"/>
      <c r="L2950" s="619">
        <v>119</v>
      </c>
      <c r="M2950" s="620">
        <v>110</v>
      </c>
      <c r="N2950" s="619"/>
      <c r="O2950" s="619">
        <v>21</v>
      </c>
      <c r="P2950" s="619" t="s">
        <v>760</v>
      </c>
      <c r="Q2950" s="662"/>
      <c r="R2950" s="618"/>
      <c r="S2950" s="621" t="s">
        <v>694</v>
      </c>
      <c r="T2950" s="619" t="s">
        <v>3898</v>
      </c>
    </row>
    <row r="2951" spans="1:20">
      <c r="A2951" s="630">
        <v>5303100</v>
      </c>
      <c r="B2951" s="623"/>
      <c r="C2951" s="623"/>
      <c r="D2951" s="623" t="s">
        <v>775</v>
      </c>
      <c r="E2951" s="627" t="s">
        <v>3162</v>
      </c>
      <c r="F2951" s="631" t="s">
        <v>3899</v>
      </c>
      <c r="G2951" s="661">
        <v>530</v>
      </c>
      <c r="H2951" s="633">
        <v>3100</v>
      </c>
      <c r="I2951" s="618"/>
      <c r="J2951" s="619" t="s">
        <v>3162</v>
      </c>
      <c r="K2951" s="618"/>
      <c r="L2951" s="619">
        <v>119</v>
      </c>
      <c r="M2951" s="620">
        <v>110</v>
      </c>
      <c r="N2951" s="619"/>
      <c r="O2951" s="619">
        <v>21</v>
      </c>
      <c r="P2951" s="619" t="s">
        <v>760</v>
      </c>
      <c r="Q2951" s="662"/>
      <c r="R2951" s="618"/>
      <c r="S2951" s="621" t="s">
        <v>694</v>
      </c>
      <c r="T2951" s="619" t="s">
        <v>3019</v>
      </c>
    </row>
    <row r="2952" spans="1:20">
      <c r="A2952" s="630">
        <v>5403100</v>
      </c>
      <c r="B2952" s="623"/>
      <c r="C2952" s="623"/>
      <c r="D2952" s="623" t="s">
        <v>799</v>
      </c>
      <c r="E2952" s="627" t="s">
        <v>3215</v>
      </c>
      <c r="F2952" s="631" t="s">
        <v>3900</v>
      </c>
      <c r="G2952" s="661">
        <v>540</v>
      </c>
      <c r="H2952" s="633">
        <v>3100</v>
      </c>
      <c r="I2952" s="618"/>
      <c r="J2952" s="619" t="s">
        <v>3215</v>
      </c>
      <c r="K2952" s="618"/>
      <c r="L2952" s="619">
        <v>119</v>
      </c>
      <c r="M2952" s="620">
        <v>110</v>
      </c>
      <c r="N2952" s="619"/>
      <c r="O2952" s="619">
        <v>21</v>
      </c>
      <c r="P2952" s="619" t="s">
        <v>760</v>
      </c>
      <c r="Q2952" s="662"/>
      <c r="R2952" s="618"/>
      <c r="S2952" s="621" t="s">
        <v>694</v>
      </c>
      <c r="T2952" s="619" t="s">
        <v>3215</v>
      </c>
    </row>
    <row r="2953" spans="1:20">
      <c r="A2953" s="630">
        <v>5503100</v>
      </c>
      <c r="B2953" s="623"/>
      <c r="C2953" s="623"/>
      <c r="D2953" s="623" t="s">
        <v>803</v>
      </c>
      <c r="E2953" s="627" t="s">
        <v>3322</v>
      </c>
      <c r="F2953" s="631" t="s">
        <v>3901</v>
      </c>
      <c r="G2953" s="661">
        <v>550</v>
      </c>
      <c r="H2953" s="633">
        <v>3100</v>
      </c>
      <c r="I2953" s="618"/>
      <c r="J2953" s="619" t="s">
        <v>3322</v>
      </c>
      <c r="K2953" s="618"/>
      <c r="L2953" s="619">
        <v>119</v>
      </c>
      <c r="M2953" s="620">
        <v>110</v>
      </c>
      <c r="N2953" s="619"/>
      <c r="O2953" s="619">
        <v>21</v>
      </c>
      <c r="P2953" s="619" t="s">
        <v>760</v>
      </c>
      <c r="Q2953" s="662"/>
      <c r="R2953" s="618"/>
      <c r="S2953" s="621" t="s">
        <v>694</v>
      </c>
      <c r="T2953" s="619" t="s">
        <v>3322</v>
      </c>
    </row>
    <row r="2954" spans="1:20">
      <c r="A2954" s="630">
        <v>5703100</v>
      </c>
      <c r="B2954" s="623"/>
      <c r="C2954" s="623"/>
      <c r="D2954" s="623" t="s">
        <v>848</v>
      </c>
      <c r="E2954" s="627" t="s">
        <v>115</v>
      </c>
      <c r="F2954" s="631" t="s">
        <v>3902</v>
      </c>
      <c r="G2954" s="661">
        <v>570</v>
      </c>
      <c r="H2954" s="633">
        <v>3100</v>
      </c>
      <c r="I2954" s="618"/>
      <c r="J2954" s="619" t="s">
        <v>115</v>
      </c>
      <c r="K2954" s="618"/>
      <c r="L2954" s="619">
        <v>117</v>
      </c>
      <c r="M2954" s="620">
        <v>108</v>
      </c>
      <c r="N2954" s="619"/>
      <c r="O2954" s="619">
        <v>21</v>
      </c>
      <c r="P2954" s="619" t="s">
        <v>760</v>
      </c>
      <c r="Q2954" s="662"/>
      <c r="R2954" s="618"/>
      <c r="S2954" s="621" t="s">
        <v>694</v>
      </c>
      <c r="T2954" s="619" t="s">
        <v>115</v>
      </c>
    </row>
    <row r="2955" spans="1:20">
      <c r="A2955" s="630">
        <v>5813100</v>
      </c>
      <c r="B2955" s="623"/>
      <c r="C2955" s="623"/>
      <c r="D2955" s="623" t="s">
        <v>851</v>
      </c>
      <c r="E2955" s="627" t="s">
        <v>3109</v>
      </c>
      <c r="F2955" s="631" t="s">
        <v>3903</v>
      </c>
      <c r="G2955" s="661">
        <v>581</v>
      </c>
      <c r="H2955" s="633">
        <v>3100</v>
      </c>
      <c r="I2955" s="618"/>
      <c r="J2955" s="619" t="s">
        <v>3109</v>
      </c>
      <c r="K2955" s="618"/>
      <c r="L2955" s="619">
        <v>118</v>
      </c>
      <c r="M2955" s="620">
        <v>109</v>
      </c>
      <c r="N2955" s="619"/>
      <c r="O2955" s="619">
        <v>21</v>
      </c>
      <c r="P2955" s="619" t="s">
        <v>760</v>
      </c>
      <c r="Q2955" s="662"/>
      <c r="R2955" s="618"/>
      <c r="S2955" s="621" t="s">
        <v>694</v>
      </c>
      <c r="T2955" s="619" t="s">
        <v>3109</v>
      </c>
    </row>
    <row r="2956" spans="1:20">
      <c r="A2956" s="630">
        <v>5823100</v>
      </c>
      <c r="B2956" s="623"/>
      <c r="C2956" s="623"/>
      <c r="D2956" s="623" t="s">
        <v>854</v>
      </c>
      <c r="E2956" s="627" t="s">
        <v>1037</v>
      </c>
      <c r="F2956" s="631" t="s">
        <v>3904</v>
      </c>
      <c r="G2956" s="661">
        <v>582</v>
      </c>
      <c r="H2956" s="633">
        <v>3100</v>
      </c>
      <c r="I2956" s="618"/>
      <c r="J2956" s="619" t="s">
        <v>1037</v>
      </c>
      <c r="K2956" s="618"/>
      <c r="L2956" s="619">
        <v>118</v>
      </c>
      <c r="M2956" s="620">
        <v>109</v>
      </c>
      <c r="N2956" s="619"/>
      <c r="O2956" s="619">
        <v>21</v>
      </c>
      <c r="P2956" s="619" t="s">
        <v>760</v>
      </c>
      <c r="Q2956" s="662"/>
      <c r="R2956" s="618"/>
      <c r="S2956" s="621" t="s">
        <v>694</v>
      </c>
      <c r="T2956" s="619" t="s">
        <v>1037</v>
      </c>
    </row>
    <row r="2957" spans="1:20">
      <c r="A2957" s="622"/>
      <c r="B2957" s="623"/>
      <c r="C2957" s="623"/>
      <c r="D2957" s="623" t="s">
        <v>857</v>
      </c>
      <c r="E2957" s="627" t="s">
        <v>3905</v>
      </c>
      <c r="F2957" s="626"/>
      <c r="G2957" s="623"/>
      <c r="H2957" s="627"/>
      <c r="I2957" s="618"/>
      <c r="J2957" s="618"/>
      <c r="K2957" s="618"/>
      <c r="L2957" s="618"/>
      <c r="M2957" s="618"/>
      <c r="N2957" s="618"/>
      <c r="O2957" s="618"/>
      <c r="P2957" s="618"/>
      <c r="Q2957" s="662"/>
      <c r="R2957" s="618"/>
      <c r="S2957" s="621"/>
      <c r="T2957" s="618"/>
    </row>
    <row r="2958" spans="1:20">
      <c r="A2958" s="630">
        <v>5963100</v>
      </c>
      <c r="B2958" s="623"/>
      <c r="C2958" s="623"/>
      <c r="D2958" s="623"/>
      <c r="E2958" s="627" t="s">
        <v>3906</v>
      </c>
      <c r="F2958" s="631" t="s">
        <v>3907</v>
      </c>
      <c r="G2958" s="661">
        <v>596</v>
      </c>
      <c r="H2958" s="633">
        <v>3100</v>
      </c>
      <c r="I2958" s="618"/>
      <c r="J2958" s="619" t="s">
        <v>3906</v>
      </c>
      <c r="K2958" s="618"/>
      <c r="L2958" s="619">
        <v>119</v>
      </c>
      <c r="M2958" s="620">
        <v>110</v>
      </c>
      <c r="N2958" s="619"/>
      <c r="O2958" s="619">
        <v>21</v>
      </c>
      <c r="P2958" s="619" t="s">
        <v>760</v>
      </c>
      <c r="Q2958" s="662"/>
      <c r="R2958" s="618"/>
      <c r="S2958" s="621" t="s">
        <v>694</v>
      </c>
      <c r="T2958" s="619" t="s">
        <v>3908</v>
      </c>
    </row>
    <row r="2959" spans="1:20">
      <c r="A2959" s="630">
        <v>5973100</v>
      </c>
      <c r="B2959" s="623"/>
      <c r="C2959" s="623"/>
      <c r="D2959" s="623"/>
      <c r="E2959" s="627" t="s">
        <v>3909</v>
      </c>
      <c r="F2959" s="631" t="s">
        <v>3910</v>
      </c>
      <c r="G2959" s="661">
        <v>597</v>
      </c>
      <c r="H2959" s="633">
        <v>3100</v>
      </c>
      <c r="I2959" s="618"/>
      <c r="J2959" s="619" t="s">
        <v>3909</v>
      </c>
      <c r="K2959" s="618"/>
      <c r="L2959" s="619">
        <v>119</v>
      </c>
      <c r="M2959" s="620">
        <v>110</v>
      </c>
      <c r="N2959" s="619"/>
      <c r="O2959" s="619">
        <v>21</v>
      </c>
      <c r="P2959" s="619" t="s">
        <v>760</v>
      </c>
      <c r="Q2959" s="662"/>
      <c r="R2959" s="618"/>
      <c r="S2959" s="621" t="s">
        <v>694</v>
      </c>
      <c r="T2959" s="619" t="s">
        <v>3911</v>
      </c>
    </row>
    <row r="2960" spans="1:20">
      <c r="A2960" s="630">
        <v>5903100</v>
      </c>
      <c r="B2960" s="623"/>
      <c r="C2960" s="623"/>
      <c r="D2960" s="623" t="s">
        <v>860</v>
      </c>
      <c r="E2960" s="627" t="s">
        <v>3912</v>
      </c>
      <c r="F2960" s="631" t="s">
        <v>3913</v>
      </c>
      <c r="G2960" s="661">
        <v>590</v>
      </c>
      <c r="H2960" s="633">
        <v>3100</v>
      </c>
      <c r="I2960" s="618"/>
      <c r="J2960" s="619" t="s">
        <v>3912</v>
      </c>
      <c r="K2960" s="618"/>
      <c r="L2960" s="619">
        <v>119</v>
      </c>
      <c r="M2960" s="620">
        <v>110</v>
      </c>
      <c r="N2960" s="619"/>
      <c r="O2960" s="619">
        <v>21</v>
      </c>
      <c r="P2960" s="619" t="s">
        <v>760</v>
      </c>
      <c r="Q2960" s="662"/>
      <c r="R2960" s="618"/>
      <c r="S2960" s="621" t="s">
        <v>694</v>
      </c>
      <c r="T2960" s="619" t="s">
        <v>3912</v>
      </c>
    </row>
    <row r="2961" spans="1:20">
      <c r="A2961" s="630">
        <v>5003100</v>
      </c>
      <c r="B2961" s="623"/>
      <c r="C2961" s="623"/>
      <c r="D2961" s="623" t="s">
        <v>1089</v>
      </c>
      <c r="E2961" s="627" t="s">
        <v>3914</v>
      </c>
      <c r="F2961" s="631" t="s">
        <v>3915</v>
      </c>
      <c r="G2961" s="661">
        <v>500</v>
      </c>
      <c r="H2961" s="633">
        <v>3100</v>
      </c>
      <c r="I2961" s="618"/>
      <c r="J2961" s="619" t="s">
        <v>3914</v>
      </c>
      <c r="K2961" s="618"/>
      <c r="L2961" s="619">
        <v>119</v>
      </c>
      <c r="M2961" s="620">
        <v>110</v>
      </c>
      <c r="N2961" s="619"/>
      <c r="O2961" s="619">
        <v>21</v>
      </c>
      <c r="P2961" s="619" t="s">
        <v>760</v>
      </c>
      <c r="Q2961" s="662"/>
      <c r="R2961" s="618"/>
      <c r="S2961" s="621" t="s">
        <v>694</v>
      </c>
      <c r="T2961" s="619" t="s">
        <v>3914</v>
      </c>
    </row>
    <row r="2962" spans="1:20">
      <c r="A2962" s="622"/>
      <c r="B2962" s="623"/>
      <c r="C2962" s="629">
        <v>94</v>
      </c>
      <c r="D2962" s="774" t="s">
        <v>254</v>
      </c>
      <c r="E2962" s="775"/>
      <c r="F2962" s="626"/>
      <c r="G2962" s="623"/>
      <c r="H2962" s="627"/>
      <c r="I2962" s="618"/>
      <c r="J2962" s="618"/>
      <c r="K2962" s="618"/>
      <c r="L2962" s="618"/>
      <c r="M2962" s="618"/>
      <c r="N2962" s="618"/>
      <c r="O2962" s="618"/>
      <c r="P2962" s="618"/>
      <c r="Q2962" s="662"/>
      <c r="R2962" s="618"/>
      <c r="S2962" s="621"/>
      <c r="T2962" s="618"/>
    </row>
    <row r="2963" spans="1:20">
      <c r="A2963" s="630">
        <v>6153100</v>
      </c>
      <c r="B2963" s="623"/>
      <c r="C2963" s="623"/>
      <c r="D2963" s="623" t="s">
        <v>756</v>
      </c>
      <c r="E2963" s="627" t="s">
        <v>1041</v>
      </c>
      <c r="F2963" s="631" t="s">
        <v>3916</v>
      </c>
      <c r="G2963" s="661">
        <v>615</v>
      </c>
      <c r="H2963" s="633">
        <v>3100</v>
      </c>
      <c r="I2963" s="618"/>
      <c r="J2963" s="619" t="s">
        <v>1041</v>
      </c>
      <c r="K2963" s="618"/>
      <c r="L2963" s="619">
        <v>126</v>
      </c>
      <c r="M2963" s="620">
        <v>117</v>
      </c>
      <c r="N2963" s="619"/>
      <c r="O2963" s="619">
        <v>21</v>
      </c>
      <c r="P2963" s="619" t="s">
        <v>760</v>
      </c>
      <c r="Q2963" s="662" t="s">
        <v>1043</v>
      </c>
      <c r="R2963" s="618"/>
      <c r="S2963" s="621" t="s">
        <v>694</v>
      </c>
      <c r="T2963" s="619" t="s">
        <v>1041</v>
      </c>
    </row>
    <row r="2964" spans="1:20">
      <c r="A2964" s="630">
        <v>6103100</v>
      </c>
      <c r="B2964" s="623"/>
      <c r="C2964" s="623"/>
      <c r="D2964" s="623" t="s">
        <v>775</v>
      </c>
      <c r="E2964" s="627" t="s">
        <v>39</v>
      </c>
      <c r="F2964" s="631" t="s">
        <v>3917</v>
      </c>
      <c r="G2964" s="661">
        <v>610</v>
      </c>
      <c r="H2964" s="633">
        <v>3100</v>
      </c>
      <c r="I2964" s="618"/>
      <c r="J2964" s="619" t="s">
        <v>39</v>
      </c>
      <c r="K2964" s="618"/>
      <c r="L2964" s="619">
        <v>122</v>
      </c>
      <c r="M2964" s="620">
        <v>113</v>
      </c>
      <c r="N2964" s="619"/>
      <c r="O2964" s="619">
        <v>21</v>
      </c>
      <c r="P2964" s="619" t="s">
        <v>760</v>
      </c>
      <c r="Q2964" s="662" t="s">
        <v>1043</v>
      </c>
      <c r="R2964" s="618"/>
      <c r="S2964" s="621" t="s">
        <v>694</v>
      </c>
      <c r="T2964" s="619" t="s">
        <v>39</v>
      </c>
    </row>
    <row r="2965" spans="1:20">
      <c r="A2965" s="630">
        <v>6203100</v>
      </c>
      <c r="B2965" s="623"/>
      <c r="C2965" s="623"/>
      <c r="D2965" s="623" t="s">
        <v>799</v>
      </c>
      <c r="E2965" s="627" t="s">
        <v>3918</v>
      </c>
      <c r="F2965" s="631" t="s">
        <v>3919</v>
      </c>
      <c r="G2965" s="661">
        <v>620</v>
      </c>
      <c r="H2965" s="633">
        <v>3100</v>
      </c>
      <c r="I2965" s="618"/>
      <c r="J2965" s="619" t="s">
        <v>3918</v>
      </c>
      <c r="K2965" s="618"/>
      <c r="L2965" s="619">
        <v>123</v>
      </c>
      <c r="M2965" s="620">
        <v>114</v>
      </c>
      <c r="N2965" s="619"/>
      <c r="O2965" s="619">
        <v>21</v>
      </c>
      <c r="P2965" s="619" t="s">
        <v>760</v>
      </c>
      <c r="Q2965" s="662" t="s">
        <v>1043</v>
      </c>
      <c r="R2965" s="618"/>
      <c r="S2965" s="621" t="s">
        <v>694</v>
      </c>
      <c r="T2965" s="619" t="s">
        <v>3920</v>
      </c>
    </row>
    <row r="2966" spans="1:20">
      <c r="A2966" s="622"/>
      <c r="B2966" s="623"/>
      <c r="C2966" s="623"/>
      <c r="D2966" s="623" t="s">
        <v>803</v>
      </c>
      <c r="E2966" s="627" t="s">
        <v>3921</v>
      </c>
      <c r="F2966" s="626"/>
      <c r="G2966" s="623"/>
      <c r="H2966" s="627"/>
      <c r="I2966" s="618"/>
      <c r="J2966" s="618"/>
      <c r="K2966" s="618"/>
      <c r="L2966" s="618"/>
      <c r="M2966" s="618"/>
      <c r="N2966" s="618"/>
      <c r="O2966" s="618"/>
      <c r="P2966" s="618"/>
      <c r="Q2966" s="662"/>
      <c r="R2966" s="618"/>
      <c r="S2966" s="621"/>
      <c r="T2966" s="618"/>
    </row>
    <row r="2967" spans="1:20">
      <c r="A2967" s="630">
        <v>6313100</v>
      </c>
      <c r="B2967" s="623"/>
      <c r="C2967" s="623"/>
      <c r="D2967" s="623"/>
      <c r="E2967" s="627" t="s">
        <v>3922</v>
      </c>
      <c r="F2967" s="631" t="s">
        <v>3923</v>
      </c>
      <c r="G2967" s="661">
        <v>631</v>
      </c>
      <c r="H2967" s="633">
        <v>3100</v>
      </c>
      <c r="I2967" s="618"/>
      <c r="J2967" s="619" t="s">
        <v>3922</v>
      </c>
      <c r="K2967" s="618"/>
      <c r="L2967" s="619">
        <v>124</v>
      </c>
      <c r="M2967" s="620">
        <v>115</v>
      </c>
      <c r="N2967" s="619"/>
      <c r="O2967" s="619">
        <v>21</v>
      </c>
      <c r="P2967" s="619" t="s">
        <v>760</v>
      </c>
      <c r="Q2967" s="662" t="s">
        <v>1043</v>
      </c>
      <c r="R2967" s="618"/>
      <c r="S2967" s="621" t="s">
        <v>694</v>
      </c>
      <c r="T2967" s="619" t="s">
        <v>3924</v>
      </c>
    </row>
    <row r="2968" spans="1:20">
      <c r="A2968" s="630">
        <v>6323100</v>
      </c>
      <c r="B2968" s="623"/>
      <c r="C2968" s="623"/>
      <c r="D2968" s="623"/>
      <c r="E2968" s="627" t="s">
        <v>3925</v>
      </c>
      <c r="F2968" s="631" t="s">
        <v>3926</v>
      </c>
      <c r="G2968" s="661">
        <v>632</v>
      </c>
      <c r="H2968" s="633">
        <v>3100</v>
      </c>
      <c r="I2968" s="618"/>
      <c r="J2968" s="619" t="s">
        <v>3925</v>
      </c>
      <c r="K2968" s="618"/>
      <c r="L2968" s="619">
        <v>124</v>
      </c>
      <c r="M2968" s="620">
        <v>115</v>
      </c>
      <c r="N2968" s="619"/>
      <c r="O2968" s="619">
        <v>21</v>
      </c>
      <c r="P2968" s="619" t="s">
        <v>760</v>
      </c>
      <c r="Q2968" s="662" t="s">
        <v>1043</v>
      </c>
      <c r="R2968" s="618"/>
      <c r="S2968" s="621" t="s">
        <v>694</v>
      </c>
      <c r="T2968" s="619" t="s">
        <v>3927</v>
      </c>
    </row>
    <row r="2969" spans="1:20">
      <c r="A2969" s="630">
        <v>6403100</v>
      </c>
      <c r="B2969" s="623"/>
      <c r="C2969" s="623"/>
      <c r="D2969" s="623" t="s">
        <v>848</v>
      </c>
      <c r="E2969" s="627" t="s">
        <v>2528</v>
      </c>
      <c r="F2969" s="631" t="s">
        <v>3928</v>
      </c>
      <c r="G2969" s="661">
        <v>640</v>
      </c>
      <c r="H2969" s="633">
        <v>3100</v>
      </c>
      <c r="I2969" s="618"/>
      <c r="J2969" s="619" t="s">
        <v>2528</v>
      </c>
      <c r="K2969" s="618"/>
      <c r="L2969" s="619">
        <v>125</v>
      </c>
      <c r="M2969" s="620">
        <v>116</v>
      </c>
      <c r="N2969" s="619"/>
      <c r="O2969" s="619">
        <v>21</v>
      </c>
      <c r="P2969" s="619" t="s">
        <v>760</v>
      </c>
      <c r="Q2969" s="662" t="s">
        <v>1043</v>
      </c>
      <c r="R2969" s="618"/>
      <c r="S2969" s="621" t="s">
        <v>694</v>
      </c>
      <c r="T2969" s="619" t="s">
        <v>2528</v>
      </c>
    </row>
    <row r="2970" spans="1:20">
      <c r="A2970" s="630">
        <v>6003100</v>
      </c>
      <c r="B2970" s="623"/>
      <c r="C2970" s="623"/>
      <c r="D2970" s="623" t="s">
        <v>851</v>
      </c>
      <c r="E2970" s="627" t="s">
        <v>1048</v>
      </c>
      <c r="F2970" s="631" t="s">
        <v>3929</v>
      </c>
      <c r="G2970" s="661">
        <v>600</v>
      </c>
      <c r="H2970" s="633">
        <v>3100</v>
      </c>
      <c r="I2970" s="618"/>
      <c r="J2970" s="619" t="s">
        <v>1048</v>
      </c>
      <c r="K2970" s="618"/>
      <c r="L2970" s="619">
        <v>126</v>
      </c>
      <c r="M2970" s="620">
        <v>117</v>
      </c>
      <c r="N2970" s="619"/>
      <c r="O2970" s="619">
        <v>21</v>
      </c>
      <c r="P2970" s="619" t="s">
        <v>760</v>
      </c>
      <c r="Q2970" s="662"/>
      <c r="R2970" s="618"/>
      <c r="S2970" s="621" t="s">
        <v>694</v>
      </c>
      <c r="T2970" s="619" t="s">
        <v>1048</v>
      </c>
    </row>
    <row r="2971" spans="1:20">
      <c r="A2971" s="622"/>
      <c r="B2971" s="623"/>
      <c r="C2971" s="629">
        <v>95</v>
      </c>
      <c r="D2971" s="774" t="s">
        <v>1050</v>
      </c>
      <c r="E2971" s="775"/>
      <c r="F2971" s="626"/>
      <c r="G2971" s="623"/>
      <c r="H2971" s="627"/>
      <c r="I2971" s="618"/>
      <c r="J2971" s="618"/>
      <c r="K2971" s="618"/>
      <c r="L2971" s="618"/>
      <c r="M2971" s="618"/>
      <c r="N2971" s="618"/>
      <c r="O2971" s="618"/>
      <c r="P2971" s="618"/>
      <c r="Q2971" s="662"/>
      <c r="R2971" s="618"/>
      <c r="S2971" s="621"/>
      <c r="T2971" s="618"/>
    </row>
    <row r="2972" spans="1:20">
      <c r="A2972" s="630">
        <v>7343100</v>
      </c>
      <c r="B2972" s="623"/>
      <c r="C2972" s="623"/>
      <c r="D2972" s="623" t="s">
        <v>756</v>
      </c>
      <c r="E2972" s="627" t="s">
        <v>1051</v>
      </c>
      <c r="F2972" s="631" t="s">
        <v>3930</v>
      </c>
      <c r="G2972" s="661">
        <v>734</v>
      </c>
      <c r="H2972" s="633">
        <v>3100</v>
      </c>
      <c r="I2972" s="618"/>
      <c r="J2972" s="619" t="s">
        <v>1051</v>
      </c>
      <c r="K2972" s="618"/>
      <c r="L2972" s="619">
        <v>131</v>
      </c>
      <c r="M2972" s="620">
        <v>122</v>
      </c>
      <c r="N2972" s="619"/>
      <c r="O2972" s="619">
        <v>21</v>
      </c>
      <c r="P2972" s="619" t="s">
        <v>760</v>
      </c>
      <c r="Q2972" s="662"/>
      <c r="R2972" s="618"/>
      <c r="S2972" s="621" t="s">
        <v>694</v>
      </c>
      <c r="T2972" s="619" t="s">
        <v>1051</v>
      </c>
    </row>
    <row r="2973" spans="1:20">
      <c r="A2973" s="630">
        <v>7353100</v>
      </c>
      <c r="B2973" s="623"/>
      <c r="C2973" s="623"/>
      <c r="D2973" s="623" t="s">
        <v>775</v>
      </c>
      <c r="E2973" s="627" t="s">
        <v>1053</v>
      </c>
      <c r="F2973" s="631" t="s">
        <v>3931</v>
      </c>
      <c r="G2973" s="661">
        <v>735</v>
      </c>
      <c r="H2973" s="633">
        <v>3100</v>
      </c>
      <c r="I2973" s="618"/>
      <c r="J2973" s="619" t="s">
        <v>1053</v>
      </c>
      <c r="K2973" s="618"/>
      <c r="L2973" s="619">
        <v>131</v>
      </c>
      <c r="M2973" s="620">
        <v>122</v>
      </c>
      <c r="N2973" s="619"/>
      <c r="O2973" s="619">
        <v>21</v>
      </c>
      <c r="P2973" s="619" t="s">
        <v>760</v>
      </c>
      <c r="Q2973" s="662"/>
      <c r="R2973" s="618"/>
      <c r="S2973" s="621" t="s">
        <v>694</v>
      </c>
      <c r="T2973" s="619" t="s">
        <v>1053</v>
      </c>
    </row>
    <row r="2974" spans="1:20">
      <c r="A2974" s="630">
        <v>7303100</v>
      </c>
      <c r="B2974" s="623"/>
      <c r="C2974" s="623"/>
      <c r="D2974" s="623" t="s">
        <v>799</v>
      </c>
      <c r="E2974" s="627" t="s">
        <v>3932</v>
      </c>
      <c r="F2974" s="631" t="s">
        <v>3933</v>
      </c>
      <c r="G2974" s="661">
        <v>730</v>
      </c>
      <c r="H2974" s="633">
        <v>3100</v>
      </c>
      <c r="I2974" s="618"/>
      <c r="J2974" s="619" t="s">
        <v>3932</v>
      </c>
      <c r="K2974" s="618"/>
      <c r="L2974" s="619">
        <v>131</v>
      </c>
      <c r="M2974" s="620">
        <v>122</v>
      </c>
      <c r="N2974" s="619"/>
      <c r="O2974" s="619">
        <v>21</v>
      </c>
      <c r="P2974" s="619" t="s">
        <v>760</v>
      </c>
      <c r="Q2974" s="662"/>
      <c r="R2974" s="618"/>
      <c r="S2974" s="621" t="s">
        <v>694</v>
      </c>
      <c r="T2974" s="619" t="s">
        <v>1055</v>
      </c>
    </row>
    <row r="2975" spans="1:20">
      <c r="A2975" s="630">
        <v>7003100</v>
      </c>
      <c r="B2975" s="623"/>
      <c r="C2975" s="623"/>
      <c r="D2975" s="623" t="s">
        <v>803</v>
      </c>
      <c r="E2975" s="627" t="s">
        <v>1057</v>
      </c>
      <c r="F2975" s="631" t="s">
        <v>3934</v>
      </c>
      <c r="G2975" s="661">
        <v>700</v>
      </c>
      <c r="H2975" s="633">
        <v>3100</v>
      </c>
      <c r="I2975" s="618"/>
      <c r="J2975" s="619" t="s">
        <v>1057</v>
      </c>
      <c r="K2975" s="618"/>
      <c r="L2975" s="619">
        <v>132</v>
      </c>
      <c r="M2975" s="620">
        <v>123</v>
      </c>
      <c r="N2975" s="619"/>
      <c r="O2975" s="619">
        <v>21</v>
      </c>
      <c r="P2975" s="619" t="s">
        <v>760</v>
      </c>
      <c r="Q2975" s="662"/>
      <c r="R2975" s="618"/>
      <c r="S2975" s="621" t="s">
        <v>694</v>
      </c>
      <c r="T2975" s="619" t="s">
        <v>1057</v>
      </c>
    </row>
    <row r="2976" spans="1:20">
      <c r="A2976" s="622"/>
      <c r="B2976" s="623"/>
      <c r="C2976" s="629">
        <v>96</v>
      </c>
      <c r="D2976" s="774" t="s">
        <v>256</v>
      </c>
      <c r="E2976" s="775"/>
      <c r="F2976" s="626"/>
      <c r="G2976" s="623"/>
      <c r="H2976" s="627"/>
      <c r="I2976" s="618"/>
      <c r="J2976" s="618"/>
      <c r="K2976" s="618"/>
      <c r="L2976" s="618"/>
      <c r="M2976" s="618"/>
      <c r="N2976" s="618"/>
      <c r="O2976" s="618"/>
      <c r="P2976" s="618"/>
      <c r="Q2976" s="662"/>
      <c r="R2976" s="618"/>
      <c r="S2976" s="621"/>
      <c r="T2976" s="618"/>
    </row>
    <row r="2977" spans="1:20">
      <c r="A2977" s="630">
        <v>8953100</v>
      </c>
      <c r="B2977" s="623"/>
      <c r="C2977" s="623"/>
      <c r="D2977" s="623" t="s">
        <v>756</v>
      </c>
      <c r="E2977" s="627" t="s">
        <v>1059</v>
      </c>
      <c r="F2977" s="631" t="s">
        <v>3935</v>
      </c>
      <c r="G2977" s="661">
        <v>895</v>
      </c>
      <c r="H2977" s="633">
        <v>3100</v>
      </c>
      <c r="I2977" s="618"/>
      <c r="J2977" s="619" t="s">
        <v>1059</v>
      </c>
      <c r="K2977" s="618"/>
      <c r="L2977" s="619">
        <v>139</v>
      </c>
      <c r="M2977" s="620">
        <v>129</v>
      </c>
      <c r="N2977" s="619"/>
      <c r="O2977" s="619">
        <v>21</v>
      </c>
      <c r="P2977" s="619" t="s">
        <v>760</v>
      </c>
      <c r="Q2977" s="662"/>
      <c r="R2977" s="618"/>
      <c r="S2977" s="621" t="s">
        <v>694</v>
      </c>
      <c r="T2977" s="619" t="s">
        <v>1059</v>
      </c>
    </row>
    <row r="2978" spans="1:20">
      <c r="A2978" s="630">
        <v>8003100</v>
      </c>
      <c r="B2978" s="623"/>
      <c r="C2978" s="623"/>
      <c r="D2978" s="623" t="s">
        <v>775</v>
      </c>
      <c r="E2978" s="627" t="s">
        <v>1061</v>
      </c>
      <c r="F2978" s="631" t="s">
        <v>3936</v>
      </c>
      <c r="G2978" s="661">
        <v>800</v>
      </c>
      <c r="H2978" s="633">
        <v>3100</v>
      </c>
      <c r="I2978" s="618"/>
      <c r="J2978" s="619" t="s">
        <v>1061</v>
      </c>
      <c r="K2978" s="618"/>
      <c r="L2978" s="619">
        <v>139</v>
      </c>
      <c r="M2978" s="620">
        <v>129</v>
      </c>
      <c r="N2978" s="619"/>
      <c r="O2978" s="619">
        <v>21</v>
      </c>
      <c r="P2978" s="619" t="s">
        <v>760</v>
      </c>
      <c r="Q2978" s="662"/>
      <c r="R2978" s="618"/>
      <c r="S2978" s="621" t="s">
        <v>694</v>
      </c>
      <c r="T2978" s="619" t="s">
        <v>1061</v>
      </c>
    </row>
    <row r="2979" spans="1:20">
      <c r="A2979" s="622"/>
      <c r="B2979" s="623"/>
      <c r="C2979" s="629">
        <v>97</v>
      </c>
      <c r="D2979" s="774" t="s">
        <v>3937</v>
      </c>
      <c r="E2979" s="775"/>
      <c r="F2979" s="626"/>
      <c r="G2979" s="623"/>
      <c r="H2979" s="627"/>
      <c r="I2979" s="618"/>
      <c r="J2979" s="618"/>
      <c r="K2979" s="618"/>
      <c r="L2979" s="618"/>
      <c r="M2979" s="618"/>
      <c r="N2979" s="618"/>
      <c r="O2979" s="618"/>
      <c r="P2979" s="618"/>
      <c r="Q2979" s="662"/>
      <c r="R2979" s="618"/>
      <c r="S2979" s="621"/>
      <c r="T2979" s="618"/>
    </row>
    <row r="2980" spans="1:20">
      <c r="A2980" s="630">
        <v>2103100</v>
      </c>
      <c r="B2980" s="623"/>
      <c r="C2980" s="623"/>
      <c r="D2980" s="623" t="s">
        <v>756</v>
      </c>
      <c r="E2980" s="627" t="s">
        <v>1064</v>
      </c>
      <c r="F2980" s="631" t="s">
        <v>3938</v>
      </c>
      <c r="G2980" s="661">
        <v>210</v>
      </c>
      <c r="H2980" s="633">
        <v>3100</v>
      </c>
      <c r="I2980" s="618"/>
      <c r="J2980" s="619" t="s">
        <v>1064</v>
      </c>
      <c r="K2980" s="618"/>
      <c r="L2980" s="619">
        <v>89</v>
      </c>
      <c r="M2980" s="620">
        <v>84</v>
      </c>
      <c r="N2980" s="619"/>
      <c r="O2980" s="619">
        <v>21</v>
      </c>
      <c r="P2980" s="619" t="s">
        <v>760</v>
      </c>
      <c r="Q2980" s="662" t="s">
        <v>1002</v>
      </c>
      <c r="R2980" s="618"/>
      <c r="S2980" s="621" t="s">
        <v>694</v>
      </c>
      <c r="T2980" s="619" t="s">
        <v>1064</v>
      </c>
    </row>
    <row r="2981" spans="1:20">
      <c r="A2981" s="630">
        <v>2203100</v>
      </c>
      <c r="B2981" s="623"/>
      <c r="C2981" s="623"/>
      <c r="D2981" s="623" t="s">
        <v>775</v>
      </c>
      <c r="E2981" s="627" t="s">
        <v>1066</v>
      </c>
      <c r="F2981" s="631" t="s">
        <v>3939</v>
      </c>
      <c r="G2981" s="661">
        <v>220</v>
      </c>
      <c r="H2981" s="633">
        <v>3100</v>
      </c>
      <c r="I2981" s="618"/>
      <c r="J2981" s="619" t="s">
        <v>1066</v>
      </c>
      <c r="K2981" s="618"/>
      <c r="L2981" s="619">
        <v>90</v>
      </c>
      <c r="M2981" s="620">
        <v>85</v>
      </c>
      <c r="N2981" s="619"/>
      <c r="O2981" s="619">
        <v>21</v>
      </c>
      <c r="P2981" s="619" t="s">
        <v>760</v>
      </c>
      <c r="Q2981" s="662" t="s">
        <v>1002</v>
      </c>
      <c r="R2981" s="618"/>
      <c r="S2981" s="621" t="s">
        <v>694</v>
      </c>
      <c r="T2981" s="619" t="s">
        <v>1066</v>
      </c>
    </row>
    <row r="2982" spans="1:20">
      <c r="A2982" s="630">
        <v>2253100</v>
      </c>
      <c r="B2982" s="623"/>
      <c r="C2982" s="623"/>
      <c r="D2982" s="623" t="s">
        <v>799</v>
      </c>
      <c r="E2982" s="627" t="s">
        <v>23</v>
      </c>
      <c r="F2982" s="631" t="s">
        <v>3940</v>
      </c>
      <c r="G2982" s="661">
        <v>225</v>
      </c>
      <c r="H2982" s="633">
        <v>3100</v>
      </c>
      <c r="I2982" s="618"/>
      <c r="J2982" s="619" t="s">
        <v>23</v>
      </c>
      <c r="K2982" s="618"/>
      <c r="L2982" s="619">
        <v>91</v>
      </c>
      <c r="M2982" s="620">
        <v>86</v>
      </c>
      <c r="N2982" s="619"/>
      <c r="O2982" s="619">
        <v>21</v>
      </c>
      <c r="P2982" s="619" t="s">
        <v>760</v>
      </c>
      <c r="Q2982" s="662" t="s">
        <v>1002</v>
      </c>
      <c r="R2982" s="618"/>
      <c r="S2982" s="621" t="s">
        <v>694</v>
      </c>
      <c r="T2982" s="619" t="s">
        <v>23</v>
      </c>
    </row>
    <row r="2983" spans="1:20">
      <c r="A2983" s="622"/>
      <c r="B2983" s="623"/>
      <c r="C2983" s="623"/>
      <c r="D2983" s="623" t="s">
        <v>803</v>
      </c>
      <c r="E2983" s="627" t="s">
        <v>1069</v>
      </c>
      <c r="F2983" s="626"/>
      <c r="G2983" s="623"/>
      <c r="H2983" s="627"/>
      <c r="I2983" s="618"/>
      <c r="J2983" s="618"/>
      <c r="K2983" s="618"/>
      <c r="L2983" s="618"/>
      <c r="M2983" s="618"/>
      <c r="N2983" s="618"/>
      <c r="O2983" s="618"/>
      <c r="P2983" s="618"/>
      <c r="Q2983" s="662"/>
      <c r="R2983" s="618"/>
      <c r="S2983" s="621"/>
      <c r="T2983" s="618"/>
    </row>
    <row r="2984" spans="1:20">
      <c r="A2984" s="630">
        <v>2313100</v>
      </c>
      <c r="B2984" s="623"/>
      <c r="C2984" s="623"/>
      <c r="D2984" s="623"/>
      <c r="E2984" s="627" t="s">
        <v>1070</v>
      </c>
      <c r="F2984" s="631" t="s">
        <v>3941</v>
      </c>
      <c r="G2984" s="661">
        <v>231</v>
      </c>
      <c r="H2984" s="633">
        <v>3100</v>
      </c>
      <c r="I2984" s="618"/>
      <c r="J2984" s="619" t="s">
        <v>1070</v>
      </c>
      <c r="K2984" s="618"/>
      <c r="L2984" s="619">
        <v>92</v>
      </c>
      <c r="M2984" s="620">
        <v>87</v>
      </c>
      <c r="N2984" s="619"/>
      <c r="O2984" s="619">
        <v>21</v>
      </c>
      <c r="P2984" s="619" t="s">
        <v>760</v>
      </c>
      <c r="Q2984" s="662" t="s">
        <v>1002</v>
      </c>
      <c r="R2984" s="618"/>
      <c r="S2984" s="621" t="s">
        <v>694</v>
      </c>
      <c r="T2984" s="619" t="s">
        <v>1072</v>
      </c>
    </row>
    <row r="2985" spans="1:20">
      <c r="A2985" s="630">
        <v>2333100</v>
      </c>
      <c r="B2985" s="623"/>
      <c r="C2985" s="623"/>
      <c r="D2985" s="623"/>
      <c r="E2985" s="627" t="s">
        <v>1073</v>
      </c>
      <c r="F2985" s="631" t="s">
        <v>3942</v>
      </c>
      <c r="G2985" s="661">
        <v>233</v>
      </c>
      <c r="H2985" s="633">
        <v>3100</v>
      </c>
      <c r="I2985" s="618"/>
      <c r="J2985" s="619" t="s">
        <v>1073</v>
      </c>
      <c r="K2985" s="618"/>
      <c r="L2985" s="619">
        <v>92</v>
      </c>
      <c r="M2985" s="620">
        <v>87</v>
      </c>
      <c r="N2985" s="619"/>
      <c r="O2985" s="619">
        <v>21</v>
      </c>
      <c r="P2985" s="619" t="s">
        <v>760</v>
      </c>
      <c r="Q2985" s="662" t="s">
        <v>1002</v>
      </c>
      <c r="R2985" s="618"/>
      <c r="S2985" s="621" t="s">
        <v>694</v>
      </c>
      <c r="T2985" s="619" t="s">
        <v>1075</v>
      </c>
    </row>
    <row r="2986" spans="1:20">
      <c r="A2986" s="630">
        <v>2393100</v>
      </c>
      <c r="B2986" s="623"/>
      <c r="C2986" s="623"/>
      <c r="D2986" s="623"/>
      <c r="E2986" s="627" t="s">
        <v>1076</v>
      </c>
      <c r="F2986" s="631" t="s">
        <v>3943</v>
      </c>
      <c r="G2986" s="661">
        <v>239</v>
      </c>
      <c r="H2986" s="633">
        <v>3100</v>
      </c>
      <c r="I2986" s="618"/>
      <c r="J2986" s="619" t="s">
        <v>1076</v>
      </c>
      <c r="K2986" s="618"/>
      <c r="L2986" s="619">
        <v>92</v>
      </c>
      <c r="M2986" s="620">
        <v>87</v>
      </c>
      <c r="N2986" s="619"/>
      <c r="O2986" s="619">
        <v>21</v>
      </c>
      <c r="P2986" s="619" t="s">
        <v>760</v>
      </c>
      <c r="Q2986" s="662" t="s">
        <v>1002</v>
      </c>
      <c r="R2986" s="618"/>
      <c r="S2986" s="621" t="s">
        <v>694</v>
      </c>
      <c r="T2986" s="619" t="s">
        <v>1078</v>
      </c>
    </row>
    <row r="2987" spans="1:20">
      <c r="A2987" s="630">
        <v>2503100</v>
      </c>
      <c r="B2987" s="623"/>
      <c r="C2987" s="623"/>
      <c r="D2987" s="623" t="s">
        <v>848</v>
      </c>
      <c r="E2987" s="627" t="s">
        <v>1079</v>
      </c>
      <c r="F2987" s="631" t="s">
        <v>3944</v>
      </c>
      <c r="G2987" s="661">
        <v>250</v>
      </c>
      <c r="H2987" s="633">
        <v>3100</v>
      </c>
      <c r="I2987" s="618"/>
      <c r="J2987" s="619" t="s">
        <v>1079</v>
      </c>
      <c r="K2987" s="618"/>
      <c r="L2987" s="619">
        <v>93</v>
      </c>
      <c r="M2987" s="620">
        <v>88</v>
      </c>
      <c r="N2987" s="619"/>
      <c r="O2987" s="619">
        <v>21</v>
      </c>
      <c r="P2987" s="619" t="s">
        <v>760</v>
      </c>
      <c r="Q2987" s="662" t="s">
        <v>1002</v>
      </c>
      <c r="R2987" s="618"/>
      <c r="S2987" s="621" t="s">
        <v>694</v>
      </c>
      <c r="T2987" s="619" t="s">
        <v>1079</v>
      </c>
    </row>
    <row r="2988" spans="1:20">
      <c r="A2988" s="630">
        <v>2603100</v>
      </c>
      <c r="B2988" s="623"/>
      <c r="C2988" s="623"/>
      <c r="D2988" s="623" t="s">
        <v>851</v>
      </c>
      <c r="E2988" s="627" t="s">
        <v>1081</v>
      </c>
      <c r="F2988" s="631" t="s">
        <v>3945</v>
      </c>
      <c r="G2988" s="661">
        <v>260</v>
      </c>
      <c r="H2988" s="633">
        <v>3100</v>
      </c>
      <c r="I2988" s="618"/>
      <c r="J2988" s="619" t="s">
        <v>1081</v>
      </c>
      <c r="K2988" s="618"/>
      <c r="L2988" s="619">
        <v>95</v>
      </c>
      <c r="M2988" s="620">
        <v>90</v>
      </c>
      <c r="N2988" s="619"/>
      <c r="O2988" s="619">
        <v>21</v>
      </c>
      <c r="P2988" s="619" t="s">
        <v>760</v>
      </c>
      <c r="Q2988" s="662" t="s">
        <v>1002</v>
      </c>
      <c r="R2988" s="618"/>
      <c r="S2988" s="621" t="s">
        <v>694</v>
      </c>
      <c r="T2988" s="619" t="s">
        <v>1081</v>
      </c>
    </row>
    <row r="2989" spans="1:20">
      <c r="A2989" s="630">
        <v>2703100</v>
      </c>
      <c r="B2989" s="623"/>
      <c r="C2989" s="623"/>
      <c r="D2989" s="623" t="s">
        <v>854</v>
      </c>
      <c r="E2989" s="627" t="s">
        <v>1083</v>
      </c>
      <c r="F2989" s="631" t="s">
        <v>3946</v>
      </c>
      <c r="G2989" s="661">
        <v>270</v>
      </c>
      <c r="H2989" s="633">
        <v>3100</v>
      </c>
      <c r="I2989" s="618"/>
      <c r="J2989" s="619" t="s">
        <v>1083</v>
      </c>
      <c r="K2989" s="618"/>
      <c r="L2989" s="619">
        <v>94</v>
      </c>
      <c r="M2989" s="620">
        <v>89</v>
      </c>
      <c r="N2989" s="619"/>
      <c r="O2989" s="619">
        <v>21</v>
      </c>
      <c r="P2989" s="619" t="s">
        <v>760</v>
      </c>
      <c r="Q2989" s="662" t="s">
        <v>1002</v>
      </c>
      <c r="R2989" s="618"/>
      <c r="S2989" s="621" t="s">
        <v>694</v>
      </c>
      <c r="T2989" s="619" t="s">
        <v>1083</v>
      </c>
    </row>
    <row r="2990" spans="1:20">
      <c r="A2990" s="630">
        <v>2813100</v>
      </c>
      <c r="B2990" s="623"/>
      <c r="C2990" s="623"/>
      <c r="D2990" s="623" t="s">
        <v>857</v>
      </c>
      <c r="E2990" s="627" t="s">
        <v>1085</v>
      </c>
      <c r="F2990" s="631" t="s">
        <v>3947</v>
      </c>
      <c r="G2990" s="661">
        <v>281</v>
      </c>
      <c r="H2990" s="633">
        <v>3100</v>
      </c>
      <c r="I2990" s="618"/>
      <c r="J2990" s="619" t="s">
        <v>1085</v>
      </c>
      <c r="K2990" s="618"/>
      <c r="L2990" s="619">
        <v>95</v>
      </c>
      <c r="M2990" s="620">
        <v>90</v>
      </c>
      <c r="N2990" s="619"/>
      <c r="O2990" s="619">
        <v>21</v>
      </c>
      <c r="P2990" s="619" t="s">
        <v>760</v>
      </c>
      <c r="Q2990" s="662" t="s">
        <v>1002</v>
      </c>
      <c r="R2990" s="618"/>
      <c r="S2990" s="621" t="s">
        <v>694</v>
      </c>
      <c r="T2990" s="619" t="s">
        <v>1085</v>
      </c>
    </row>
    <row r="2991" spans="1:20">
      <c r="A2991" s="630">
        <v>2823100</v>
      </c>
      <c r="B2991" s="623"/>
      <c r="C2991" s="623"/>
      <c r="D2991" s="623" t="s">
        <v>860</v>
      </c>
      <c r="E2991" s="627" t="s">
        <v>1087</v>
      </c>
      <c r="F2991" s="631" t="s">
        <v>3948</v>
      </c>
      <c r="G2991" s="661">
        <v>282</v>
      </c>
      <c r="H2991" s="633">
        <v>3100</v>
      </c>
      <c r="I2991" s="618"/>
      <c r="J2991" s="619" t="s">
        <v>1087</v>
      </c>
      <c r="K2991" s="618"/>
      <c r="L2991" s="619">
        <v>95</v>
      </c>
      <c r="M2991" s="620">
        <v>90</v>
      </c>
      <c r="N2991" s="619"/>
      <c r="O2991" s="619">
        <v>21</v>
      </c>
      <c r="P2991" s="619" t="s">
        <v>760</v>
      </c>
      <c r="Q2991" s="662" t="s">
        <v>1002</v>
      </c>
      <c r="R2991" s="618"/>
      <c r="S2991" s="621" t="s">
        <v>694</v>
      </c>
      <c r="T2991" s="619" t="s">
        <v>1087</v>
      </c>
    </row>
    <row r="2992" spans="1:20" ht="16" thickBot="1">
      <c r="A2992" s="630">
        <v>2903100</v>
      </c>
      <c r="B2992" s="667"/>
      <c r="C2992" s="623"/>
      <c r="D2992" s="623" t="s">
        <v>1089</v>
      </c>
      <c r="E2992" s="627" t="s">
        <v>1090</v>
      </c>
      <c r="F2992" s="631" t="s">
        <v>3949</v>
      </c>
      <c r="G2992" s="661">
        <v>290</v>
      </c>
      <c r="H2992" s="633">
        <v>3100</v>
      </c>
      <c r="I2992" s="618"/>
      <c r="J2992" s="619" t="s">
        <v>1090</v>
      </c>
      <c r="K2992" s="618"/>
      <c r="L2992" s="619">
        <v>95</v>
      </c>
      <c r="M2992" s="620">
        <v>90</v>
      </c>
      <c r="N2992" s="619"/>
      <c r="O2992" s="619">
        <v>21</v>
      </c>
      <c r="P2992" s="619" t="s">
        <v>760</v>
      </c>
      <c r="Q2992" s="662" t="s">
        <v>1002</v>
      </c>
      <c r="R2992" s="618"/>
      <c r="S2992" s="621" t="s">
        <v>694</v>
      </c>
      <c r="T2992" s="619" t="s">
        <v>1090</v>
      </c>
    </row>
    <row r="2993" spans="1:20" ht="16.5" thickTop="1" thickBot="1">
      <c r="A2993" s="622"/>
      <c r="B2993" s="613"/>
      <c r="C2993" s="772" t="s">
        <v>3950</v>
      </c>
      <c r="D2993" s="773"/>
      <c r="E2993" s="782"/>
      <c r="F2993" s="656" t="s">
        <v>617</v>
      </c>
      <c r="G2993" s="657"/>
      <c r="H2993" s="658"/>
      <c r="I2993" s="618"/>
      <c r="J2993" s="618"/>
      <c r="K2993" s="618"/>
      <c r="L2993" s="618"/>
      <c r="M2993" s="618"/>
      <c r="N2993" s="618"/>
      <c r="O2993" s="618"/>
      <c r="P2993" s="618"/>
      <c r="Q2993" s="662"/>
      <c r="R2993" s="618"/>
      <c r="S2993" s="621"/>
      <c r="T2993" s="618"/>
    </row>
    <row r="2994" spans="1:20" ht="16" thickTop="1">
      <c r="A2994" s="622"/>
      <c r="B2994" s="623"/>
      <c r="C2994" s="623"/>
      <c r="D2994" s="623"/>
      <c r="E2994" s="627"/>
      <c r="F2994" s="626"/>
      <c r="G2994" s="623"/>
      <c r="H2994" s="627"/>
      <c r="I2994" s="618"/>
      <c r="J2994" s="618"/>
      <c r="K2994" s="618"/>
      <c r="L2994" s="618"/>
      <c r="M2994" s="618"/>
      <c r="N2994" s="618"/>
      <c r="O2994" s="618"/>
      <c r="P2994" s="618"/>
      <c r="Q2994" s="662"/>
      <c r="R2994" s="618"/>
      <c r="S2994" s="621"/>
      <c r="T2994" s="618"/>
    </row>
    <row r="2995" spans="1:20">
      <c r="A2995" s="622"/>
      <c r="B2995" s="628" t="s">
        <v>1093</v>
      </c>
      <c r="C2995" s="790" t="s">
        <v>3951</v>
      </c>
      <c r="D2995" s="771"/>
      <c r="E2995" s="775"/>
      <c r="F2995" s="626"/>
      <c r="G2995" s="623"/>
      <c r="H2995" s="627"/>
      <c r="I2995" s="618"/>
      <c r="J2995" s="618"/>
      <c r="K2995" s="618"/>
      <c r="L2995" s="618"/>
      <c r="M2995" s="618"/>
      <c r="N2995" s="618"/>
      <c r="O2995" s="618"/>
      <c r="P2995" s="618"/>
      <c r="Q2995" s="662"/>
      <c r="R2995" s="618"/>
      <c r="S2995" s="621"/>
      <c r="T2995" s="618"/>
    </row>
    <row r="2996" spans="1:20">
      <c r="A2996" s="622"/>
      <c r="B2996" s="623"/>
      <c r="C2996" s="629">
        <v>98</v>
      </c>
      <c r="D2996" s="774" t="s">
        <v>244</v>
      </c>
      <c r="E2996" s="775"/>
      <c r="F2996" s="626"/>
      <c r="G2996" s="623"/>
      <c r="H2996" s="627"/>
      <c r="I2996" s="618"/>
      <c r="J2996" s="618"/>
      <c r="K2996" s="618"/>
      <c r="L2996" s="618"/>
      <c r="M2996" s="618"/>
      <c r="N2996" s="618"/>
      <c r="O2996" s="618"/>
      <c r="P2996" s="618"/>
      <c r="Q2996" s="662"/>
      <c r="R2996" s="618"/>
      <c r="S2996" s="621"/>
      <c r="T2996" s="618"/>
    </row>
    <row r="2997" spans="1:20">
      <c r="A2997" s="630">
        <v>1113200</v>
      </c>
      <c r="B2997" s="623"/>
      <c r="C2997" s="623"/>
      <c r="D2997" s="623" t="s">
        <v>756</v>
      </c>
      <c r="E2997" s="627" t="s">
        <v>3952</v>
      </c>
      <c r="F2997" s="631" t="s">
        <v>3953</v>
      </c>
      <c r="G2997" s="661">
        <v>111</v>
      </c>
      <c r="H2997" s="633">
        <v>3200</v>
      </c>
      <c r="I2997" s="618"/>
      <c r="J2997" s="619" t="s">
        <v>3952</v>
      </c>
      <c r="K2997" s="618"/>
      <c r="L2997" s="619">
        <v>81</v>
      </c>
      <c r="M2997" s="620">
        <v>76</v>
      </c>
      <c r="N2997" s="619"/>
      <c r="O2997" s="619">
        <v>22</v>
      </c>
      <c r="P2997" s="619" t="s">
        <v>760</v>
      </c>
      <c r="Q2997" s="662"/>
      <c r="R2997" s="618"/>
      <c r="S2997" s="621" t="s">
        <v>695</v>
      </c>
      <c r="T2997" s="619" t="s">
        <v>3952</v>
      </c>
    </row>
    <row r="2998" spans="1:20">
      <c r="A2998" s="630">
        <v>1143200</v>
      </c>
      <c r="B2998" s="623"/>
      <c r="C2998" s="623"/>
      <c r="D2998" s="623" t="s">
        <v>775</v>
      </c>
      <c r="E2998" s="627" t="s">
        <v>1853</v>
      </c>
      <c r="F2998" s="631" t="s">
        <v>3954</v>
      </c>
      <c r="G2998" s="661">
        <v>114</v>
      </c>
      <c r="H2998" s="633">
        <v>3200</v>
      </c>
      <c r="I2998" s="618"/>
      <c r="J2998" s="619" t="s">
        <v>1853</v>
      </c>
      <c r="K2998" s="618"/>
      <c r="L2998" s="619">
        <v>84</v>
      </c>
      <c r="M2998" s="620">
        <v>79</v>
      </c>
      <c r="N2998" s="619"/>
      <c r="O2998" s="619">
        <v>22</v>
      </c>
      <c r="P2998" s="619" t="s">
        <v>760</v>
      </c>
      <c r="Q2998" s="662"/>
      <c r="R2998" s="618"/>
      <c r="S2998" s="621" t="s">
        <v>695</v>
      </c>
      <c r="T2998" s="619" t="s">
        <v>1853</v>
      </c>
    </row>
    <row r="2999" spans="1:20">
      <c r="A2999" s="630">
        <v>1003200</v>
      </c>
      <c r="B2999" s="623"/>
      <c r="C2999" s="623"/>
      <c r="D2999" s="623" t="s">
        <v>799</v>
      </c>
      <c r="E2999" s="627" t="s">
        <v>3955</v>
      </c>
      <c r="F2999" s="631" t="s">
        <v>3956</v>
      </c>
      <c r="G2999" s="661">
        <v>100</v>
      </c>
      <c r="H2999" s="633">
        <v>3200</v>
      </c>
      <c r="I2999" s="618"/>
      <c r="J2999" s="619" t="s">
        <v>3955</v>
      </c>
      <c r="K2999" s="618"/>
      <c r="L2999" s="619">
        <v>86</v>
      </c>
      <c r="M2999" s="620">
        <v>81</v>
      </c>
      <c r="N2999" s="619"/>
      <c r="O2999" s="619">
        <v>22</v>
      </c>
      <c r="P2999" s="619" t="s">
        <v>760</v>
      </c>
      <c r="Q2999" s="662"/>
      <c r="R2999" s="618"/>
      <c r="S2999" s="621" t="s">
        <v>695</v>
      </c>
      <c r="T2999" s="619" t="s">
        <v>3955</v>
      </c>
    </row>
    <row r="3000" spans="1:20">
      <c r="A3000" s="630">
        <v>3003200</v>
      </c>
      <c r="B3000" s="623"/>
      <c r="C3000" s="629">
        <v>99</v>
      </c>
      <c r="D3000" s="774" t="s">
        <v>1112</v>
      </c>
      <c r="E3000" s="775"/>
      <c r="F3000" s="631" t="s">
        <v>3957</v>
      </c>
      <c r="G3000" s="661">
        <v>300</v>
      </c>
      <c r="H3000" s="633">
        <v>3200</v>
      </c>
      <c r="I3000" s="618"/>
      <c r="J3000" s="619" t="s">
        <v>1112</v>
      </c>
      <c r="K3000" s="618"/>
      <c r="L3000" s="619">
        <v>101</v>
      </c>
      <c r="M3000" s="620">
        <v>96</v>
      </c>
      <c r="N3000" s="619"/>
      <c r="O3000" s="619">
        <v>22</v>
      </c>
      <c r="P3000" s="619" t="s">
        <v>760</v>
      </c>
      <c r="Q3000" s="662"/>
      <c r="R3000" s="618"/>
      <c r="S3000" s="621" t="s">
        <v>695</v>
      </c>
      <c r="T3000" s="619" t="s">
        <v>1112</v>
      </c>
    </row>
    <row r="3001" spans="1:20">
      <c r="A3001" s="622"/>
      <c r="B3001" s="623"/>
      <c r="C3001" s="629">
        <v>100</v>
      </c>
      <c r="D3001" s="774" t="s">
        <v>250</v>
      </c>
      <c r="E3001" s="775"/>
      <c r="F3001" s="626"/>
      <c r="G3001" s="623"/>
      <c r="H3001" s="627"/>
      <c r="I3001" s="618"/>
      <c r="J3001" s="618"/>
      <c r="K3001" s="618"/>
      <c r="L3001" s="618"/>
      <c r="M3001" s="618"/>
      <c r="N3001" s="618"/>
      <c r="O3001" s="618"/>
      <c r="P3001" s="618"/>
      <c r="Q3001" s="662"/>
      <c r="R3001" s="618"/>
      <c r="S3001" s="621"/>
      <c r="T3001" s="618"/>
    </row>
    <row r="3002" spans="1:20">
      <c r="A3002" s="630">
        <v>4303200</v>
      </c>
      <c r="B3002" s="623"/>
      <c r="C3002" s="623"/>
      <c r="D3002" s="623" t="s">
        <v>756</v>
      </c>
      <c r="E3002" s="627" t="s">
        <v>1021</v>
      </c>
      <c r="F3002" s="631" t="s">
        <v>3958</v>
      </c>
      <c r="G3002" s="661">
        <v>430</v>
      </c>
      <c r="H3002" s="633">
        <v>3200</v>
      </c>
      <c r="I3002" s="618"/>
      <c r="J3002" s="619" t="s">
        <v>1021</v>
      </c>
      <c r="K3002" s="618"/>
      <c r="L3002" s="619">
        <v>107</v>
      </c>
      <c r="M3002" s="620">
        <v>102</v>
      </c>
      <c r="N3002" s="619"/>
      <c r="O3002" s="619">
        <v>22</v>
      </c>
      <c r="P3002" s="619" t="s">
        <v>760</v>
      </c>
      <c r="Q3002" s="662"/>
      <c r="R3002" s="618"/>
      <c r="S3002" s="621" t="s">
        <v>695</v>
      </c>
      <c r="T3002" s="619" t="s">
        <v>1021</v>
      </c>
    </row>
    <row r="3003" spans="1:20">
      <c r="A3003" s="630">
        <v>4003200</v>
      </c>
      <c r="B3003" s="623"/>
      <c r="C3003" s="623"/>
      <c r="D3003" s="623" t="s">
        <v>775</v>
      </c>
      <c r="E3003" s="627" t="s">
        <v>1025</v>
      </c>
      <c r="F3003" s="631" t="s">
        <v>3959</v>
      </c>
      <c r="G3003" s="661">
        <v>400</v>
      </c>
      <c r="H3003" s="633">
        <v>3200</v>
      </c>
      <c r="I3003" s="618"/>
      <c r="J3003" s="619" t="s">
        <v>1025</v>
      </c>
      <c r="K3003" s="618"/>
      <c r="L3003" s="619">
        <v>108</v>
      </c>
      <c r="M3003" s="620">
        <v>103</v>
      </c>
      <c r="N3003" s="619"/>
      <c r="O3003" s="619">
        <v>22</v>
      </c>
      <c r="P3003" s="619" t="s">
        <v>760</v>
      </c>
      <c r="Q3003" s="662"/>
      <c r="R3003" s="618"/>
      <c r="S3003" s="621" t="s">
        <v>695</v>
      </c>
      <c r="T3003" s="619" t="s">
        <v>1025</v>
      </c>
    </row>
    <row r="3004" spans="1:20">
      <c r="A3004" s="622"/>
      <c r="B3004" s="623"/>
      <c r="C3004" s="629">
        <v>101</v>
      </c>
      <c r="D3004" s="774" t="s">
        <v>252</v>
      </c>
      <c r="E3004" s="775"/>
      <c r="F3004" s="626"/>
      <c r="G3004" s="623"/>
      <c r="H3004" s="627"/>
      <c r="I3004" s="618"/>
      <c r="J3004" s="618"/>
      <c r="K3004" s="618"/>
      <c r="L3004" s="618"/>
      <c r="M3004" s="618"/>
      <c r="N3004" s="618"/>
      <c r="O3004" s="618"/>
      <c r="P3004" s="618"/>
      <c r="Q3004" s="662"/>
      <c r="R3004" s="618"/>
      <c r="S3004" s="621"/>
      <c r="T3004" s="618"/>
    </row>
    <row r="3005" spans="1:20">
      <c r="A3005" s="630">
        <v>5823200</v>
      </c>
      <c r="B3005" s="623"/>
      <c r="C3005" s="623"/>
      <c r="D3005" s="623" t="s">
        <v>756</v>
      </c>
      <c r="E3005" s="627" t="s">
        <v>1037</v>
      </c>
      <c r="F3005" s="631" t="s">
        <v>3960</v>
      </c>
      <c r="G3005" s="661">
        <v>582</v>
      </c>
      <c r="H3005" s="633">
        <v>3200</v>
      </c>
      <c r="I3005" s="618"/>
      <c r="J3005" s="619" t="s">
        <v>1037</v>
      </c>
      <c r="K3005" s="618"/>
      <c r="L3005" s="619">
        <v>118</v>
      </c>
      <c r="M3005" s="620">
        <v>109</v>
      </c>
      <c r="N3005" s="619"/>
      <c r="O3005" s="619">
        <v>22</v>
      </c>
      <c r="P3005" s="619" t="s">
        <v>760</v>
      </c>
      <c r="Q3005" s="662"/>
      <c r="R3005" s="618"/>
      <c r="S3005" s="621" t="s">
        <v>695</v>
      </c>
      <c r="T3005" s="619" t="s">
        <v>1037</v>
      </c>
    </row>
    <row r="3006" spans="1:20">
      <c r="A3006" s="630">
        <v>5003200</v>
      </c>
      <c r="B3006" s="623"/>
      <c r="C3006" s="623"/>
      <c r="D3006" s="623" t="s">
        <v>775</v>
      </c>
      <c r="E3006" s="627" t="s">
        <v>252</v>
      </c>
      <c r="F3006" s="631" t="s">
        <v>3961</v>
      </c>
      <c r="G3006" s="661">
        <v>500</v>
      </c>
      <c r="H3006" s="633">
        <v>3200</v>
      </c>
      <c r="I3006" s="618"/>
      <c r="J3006" s="619" t="s">
        <v>252</v>
      </c>
      <c r="K3006" s="618"/>
      <c r="L3006" s="619">
        <v>119</v>
      </c>
      <c r="M3006" s="620">
        <v>110</v>
      </c>
      <c r="N3006" s="619"/>
      <c r="O3006" s="619">
        <v>22</v>
      </c>
      <c r="P3006" s="619" t="s">
        <v>760</v>
      </c>
      <c r="Q3006" s="662"/>
      <c r="R3006" s="618"/>
      <c r="S3006" s="621" t="s">
        <v>695</v>
      </c>
      <c r="T3006" s="619" t="s">
        <v>252</v>
      </c>
    </row>
    <row r="3007" spans="1:20">
      <c r="A3007" s="622"/>
      <c r="B3007" s="623"/>
      <c r="C3007" s="629">
        <v>102</v>
      </c>
      <c r="D3007" s="774" t="s">
        <v>254</v>
      </c>
      <c r="E3007" s="775"/>
      <c r="F3007" s="626"/>
      <c r="G3007" s="623"/>
      <c r="H3007" s="627"/>
      <c r="I3007" s="618"/>
      <c r="J3007" s="618"/>
      <c r="K3007" s="618"/>
      <c r="L3007" s="618"/>
      <c r="M3007" s="618"/>
      <c r="N3007" s="618"/>
      <c r="O3007" s="618"/>
      <c r="P3007" s="618"/>
      <c r="Q3007" s="662"/>
      <c r="R3007" s="618"/>
      <c r="S3007" s="621"/>
      <c r="T3007" s="618"/>
    </row>
    <row r="3008" spans="1:20">
      <c r="A3008" s="630">
        <v>6153200</v>
      </c>
      <c r="B3008" s="623"/>
      <c r="C3008" s="623"/>
      <c r="D3008" s="623" t="s">
        <v>756</v>
      </c>
      <c r="E3008" s="627" t="s">
        <v>1041</v>
      </c>
      <c r="F3008" s="631" t="s">
        <v>3962</v>
      </c>
      <c r="G3008" s="661">
        <v>615</v>
      </c>
      <c r="H3008" s="633">
        <v>3200</v>
      </c>
      <c r="I3008" s="618"/>
      <c r="J3008" s="619" t="s">
        <v>1041</v>
      </c>
      <c r="K3008" s="618"/>
      <c r="L3008" s="619">
        <v>126</v>
      </c>
      <c r="M3008" s="620">
        <v>117</v>
      </c>
      <c r="N3008" s="619"/>
      <c r="O3008" s="619">
        <v>22</v>
      </c>
      <c r="P3008" s="619" t="s">
        <v>760</v>
      </c>
      <c r="Q3008" s="662" t="s">
        <v>1043</v>
      </c>
      <c r="R3008" s="618"/>
      <c r="S3008" s="621" t="s">
        <v>695</v>
      </c>
      <c r="T3008" s="619" t="s">
        <v>1041</v>
      </c>
    </row>
    <row r="3009" spans="1:20">
      <c r="A3009" s="630">
        <v>6103200</v>
      </c>
      <c r="B3009" s="623"/>
      <c r="C3009" s="623"/>
      <c r="D3009" s="623" t="s">
        <v>775</v>
      </c>
      <c r="E3009" s="627" t="s">
        <v>39</v>
      </c>
      <c r="F3009" s="631" t="s">
        <v>3963</v>
      </c>
      <c r="G3009" s="661">
        <v>610</v>
      </c>
      <c r="H3009" s="633">
        <v>3200</v>
      </c>
      <c r="I3009" s="618"/>
      <c r="J3009" s="619" t="s">
        <v>39</v>
      </c>
      <c r="K3009" s="618"/>
      <c r="L3009" s="619">
        <v>122</v>
      </c>
      <c r="M3009" s="620">
        <v>113</v>
      </c>
      <c r="N3009" s="619"/>
      <c r="O3009" s="619">
        <v>22</v>
      </c>
      <c r="P3009" s="619" t="s">
        <v>760</v>
      </c>
      <c r="Q3009" s="662" t="s">
        <v>1043</v>
      </c>
      <c r="R3009" s="618"/>
      <c r="S3009" s="621" t="s">
        <v>695</v>
      </c>
      <c r="T3009" s="619" t="s">
        <v>39</v>
      </c>
    </row>
    <row r="3010" spans="1:20">
      <c r="A3010" s="630">
        <v>6003200</v>
      </c>
      <c r="B3010" s="623"/>
      <c r="C3010" s="623"/>
      <c r="D3010" s="623" t="s">
        <v>799</v>
      </c>
      <c r="E3010" s="627" t="s">
        <v>1048</v>
      </c>
      <c r="F3010" s="631" t="s">
        <v>3964</v>
      </c>
      <c r="G3010" s="661">
        <v>600</v>
      </c>
      <c r="H3010" s="633">
        <v>3200</v>
      </c>
      <c r="I3010" s="618"/>
      <c r="J3010" s="619" t="s">
        <v>1048</v>
      </c>
      <c r="K3010" s="618"/>
      <c r="L3010" s="619">
        <v>126</v>
      </c>
      <c r="M3010" s="620">
        <v>117</v>
      </c>
      <c r="N3010" s="619"/>
      <c r="O3010" s="619">
        <v>22</v>
      </c>
      <c r="P3010" s="619" t="s">
        <v>760</v>
      </c>
      <c r="Q3010" s="662"/>
      <c r="R3010" s="618"/>
      <c r="S3010" s="621" t="s">
        <v>695</v>
      </c>
      <c r="T3010" s="619" t="s">
        <v>1048</v>
      </c>
    </row>
    <row r="3011" spans="1:20">
      <c r="A3011" s="622"/>
      <c r="B3011" s="623"/>
      <c r="C3011" s="629">
        <v>103</v>
      </c>
      <c r="D3011" s="774" t="s">
        <v>1050</v>
      </c>
      <c r="E3011" s="775"/>
      <c r="F3011" s="626"/>
      <c r="G3011" s="623"/>
      <c r="H3011" s="627"/>
      <c r="I3011" s="618"/>
      <c r="J3011" s="618"/>
      <c r="K3011" s="618"/>
      <c r="L3011" s="618"/>
      <c r="M3011" s="618"/>
      <c r="N3011" s="618"/>
      <c r="O3011" s="618"/>
      <c r="P3011" s="618"/>
      <c r="Q3011" s="662"/>
      <c r="R3011" s="618"/>
      <c r="S3011" s="621"/>
      <c r="T3011" s="618"/>
    </row>
    <row r="3012" spans="1:20">
      <c r="A3012" s="630">
        <v>7343200</v>
      </c>
      <c r="B3012" s="623"/>
      <c r="C3012" s="623"/>
      <c r="D3012" s="623" t="s">
        <v>756</v>
      </c>
      <c r="E3012" s="627" t="s">
        <v>1051</v>
      </c>
      <c r="F3012" s="631" t="s">
        <v>3965</v>
      </c>
      <c r="G3012" s="661">
        <v>734</v>
      </c>
      <c r="H3012" s="633">
        <v>3200</v>
      </c>
      <c r="I3012" s="618"/>
      <c r="J3012" s="619" t="s">
        <v>1051</v>
      </c>
      <c r="K3012" s="618"/>
      <c r="L3012" s="619">
        <v>131</v>
      </c>
      <c r="M3012" s="620">
        <v>122</v>
      </c>
      <c r="N3012" s="619"/>
      <c r="O3012" s="619">
        <v>22</v>
      </c>
      <c r="P3012" s="619" t="s">
        <v>760</v>
      </c>
      <c r="Q3012" s="662"/>
      <c r="R3012" s="618"/>
      <c r="S3012" s="621" t="s">
        <v>695</v>
      </c>
      <c r="T3012" s="619" t="s">
        <v>1051</v>
      </c>
    </row>
    <row r="3013" spans="1:20">
      <c r="A3013" s="630">
        <v>7353200</v>
      </c>
      <c r="B3013" s="623"/>
      <c r="C3013" s="623"/>
      <c r="D3013" s="623" t="s">
        <v>775</v>
      </c>
      <c r="E3013" s="627" t="s">
        <v>1053</v>
      </c>
      <c r="F3013" s="631" t="s">
        <v>3966</v>
      </c>
      <c r="G3013" s="661">
        <v>735</v>
      </c>
      <c r="H3013" s="633">
        <v>3200</v>
      </c>
      <c r="I3013" s="618"/>
      <c r="J3013" s="619" t="s">
        <v>1053</v>
      </c>
      <c r="K3013" s="618"/>
      <c r="L3013" s="619">
        <v>131</v>
      </c>
      <c r="M3013" s="620">
        <v>122</v>
      </c>
      <c r="N3013" s="619"/>
      <c r="O3013" s="619">
        <v>22</v>
      </c>
      <c r="P3013" s="619" t="s">
        <v>760</v>
      </c>
      <c r="Q3013" s="662"/>
      <c r="R3013" s="618"/>
      <c r="S3013" s="621" t="s">
        <v>695</v>
      </c>
      <c r="T3013" s="619" t="s">
        <v>1053</v>
      </c>
    </row>
    <row r="3014" spans="1:20">
      <c r="A3014" s="630">
        <v>7303200</v>
      </c>
      <c r="B3014" s="623"/>
      <c r="C3014" s="623"/>
      <c r="D3014" s="623" t="s">
        <v>799</v>
      </c>
      <c r="E3014" s="627" t="s">
        <v>1055</v>
      </c>
      <c r="F3014" s="631" t="s">
        <v>3967</v>
      </c>
      <c r="G3014" s="661">
        <v>730</v>
      </c>
      <c r="H3014" s="633">
        <v>3200</v>
      </c>
      <c r="I3014" s="618"/>
      <c r="J3014" s="619" t="s">
        <v>1055</v>
      </c>
      <c r="K3014" s="618"/>
      <c r="L3014" s="619">
        <v>131</v>
      </c>
      <c r="M3014" s="620">
        <v>122</v>
      </c>
      <c r="N3014" s="619"/>
      <c r="O3014" s="619">
        <v>22</v>
      </c>
      <c r="P3014" s="619" t="s">
        <v>760</v>
      </c>
      <c r="Q3014" s="662"/>
      <c r="R3014" s="618"/>
      <c r="S3014" s="621" t="s">
        <v>695</v>
      </c>
      <c r="T3014" s="619" t="s">
        <v>1055</v>
      </c>
    </row>
    <row r="3015" spans="1:20">
      <c r="A3015" s="630">
        <v>7003200</v>
      </c>
      <c r="B3015" s="623"/>
      <c r="C3015" s="623"/>
      <c r="D3015" s="623" t="s">
        <v>803</v>
      </c>
      <c r="E3015" s="627" t="s">
        <v>1057</v>
      </c>
      <c r="F3015" s="631" t="s">
        <v>3968</v>
      </c>
      <c r="G3015" s="661">
        <v>700</v>
      </c>
      <c r="H3015" s="633">
        <v>3200</v>
      </c>
      <c r="I3015" s="618"/>
      <c r="J3015" s="619" t="s">
        <v>1057</v>
      </c>
      <c r="K3015" s="618"/>
      <c r="L3015" s="619">
        <v>132</v>
      </c>
      <c r="M3015" s="620">
        <v>123</v>
      </c>
      <c r="N3015" s="619"/>
      <c r="O3015" s="619">
        <v>22</v>
      </c>
      <c r="P3015" s="619" t="s">
        <v>760</v>
      </c>
      <c r="Q3015" s="662"/>
      <c r="R3015" s="618"/>
      <c r="S3015" s="621" t="s">
        <v>695</v>
      </c>
      <c r="T3015" s="619" t="s">
        <v>1057</v>
      </c>
    </row>
    <row r="3016" spans="1:20">
      <c r="A3016" s="622"/>
      <c r="B3016" s="623"/>
      <c r="C3016" s="629">
        <v>104</v>
      </c>
      <c r="D3016" s="774" t="s">
        <v>256</v>
      </c>
      <c r="E3016" s="775"/>
      <c r="F3016" s="626"/>
      <c r="G3016" s="623"/>
      <c r="H3016" s="627"/>
      <c r="I3016" s="618"/>
      <c r="J3016" s="618"/>
      <c r="K3016" s="618"/>
      <c r="L3016" s="618"/>
      <c r="M3016" s="618"/>
      <c r="N3016" s="618"/>
      <c r="O3016" s="618"/>
      <c r="P3016" s="618"/>
      <c r="Q3016" s="662"/>
      <c r="R3016" s="618"/>
      <c r="S3016" s="621"/>
      <c r="T3016" s="618"/>
    </row>
    <row r="3017" spans="1:20">
      <c r="A3017" s="630">
        <v>8953200</v>
      </c>
      <c r="B3017" s="623"/>
      <c r="C3017" s="623"/>
      <c r="D3017" s="623" t="s">
        <v>756</v>
      </c>
      <c r="E3017" s="627" t="s">
        <v>1059</v>
      </c>
      <c r="F3017" s="631" t="s">
        <v>3969</v>
      </c>
      <c r="G3017" s="661">
        <v>895</v>
      </c>
      <c r="H3017" s="633">
        <v>3200</v>
      </c>
      <c r="I3017" s="618"/>
      <c r="J3017" s="619" t="s">
        <v>1059</v>
      </c>
      <c r="K3017" s="618"/>
      <c r="L3017" s="619">
        <v>139</v>
      </c>
      <c r="M3017" s="620">
        <v>129</v>
      </c>
      <c r="N3017" s="619"/>
      <c r="O3017" s="619">
        <v>22</v>
      </c>
      <c r="P3017" s="619" t="s">
        <v>760</v>
      </c>
      <c r="Q3017" s="662"/>
      <c r="R3017" s="618"/>
      <c r="S3017" s="621" t="s">
        <v>695</v>
      </c>
      <c r="T3017" s="619" t="s">
        <v>1059</v>
      </c>
    </row>
    <row r="3018" spans="1:20">
      <c r="A3018" s="630">
        <v>8003200</v>
      </c>
      <c r="B3018" s="623"/>
      <c r="C3018" s="623"/>
      <c r="D3018" s="623" t="s">
        <v>775</v>
      </c>
      <c r="E3018" s="627" t="s">
        <v>1061</v>
      </c>
      <c r="F3018" s="631" t="s">
        <v>3970</v>
      </c>
      <c r="G3018" s="661">
        <v>800</v>
      </c>
      <c r="H3018" s="633">
        <v>3200</v>
      </c>
      <c r="I3018" s="618"/>
      <c r="J3018" s="619" t="s">
        <v>1061</v>
      </c>
      <c r="K3018" s="618"/>
      <c r="L3018" s="619">
        <v>139</v>
      </c>
      <c r="M3018" s="620">
        <v>129</v>
      </c>
      <c r="N3018" s="619"/>
      <c r="O3018" s="619">
        <v>22</v>
      </c>
      <c r="P3018" s="619" t="s">
        <v>760</v>
      </c>
      <c r="Q3018" s="662"/>
      <c r="R3018" s="618"/>
      <c r="S3018" s="621" t="s">
        <v>695</v>
      </c>
      <c r="T3018" s="619" t="s">
        <v>1061</v>
      </c>
    </row>
    <row r="3019" spans="1:20">
      <c r="A3019" s="622"/>
      <c r="B3019" s="623"/>
      <c r="C3019" s="629">
        <v>105</v>
      </c>
      <c r="D3019" s="774" t="s">
        <v>3971</v>
      </c>
      <c r="E3019" s="775"/>
      <c r="F3019" s="626"/>
      <c r="G3019" s="623"/>
      <c r="H3019" s="627"/>
      <c r="I3019" s="618"/>
      <c r="J3019" s="618"/>
      <c r="K3019" s="618"/>
      <c r="L3019" s="618"/>
      <c r="M3019" s="618"/>
      <c r="N3019" s="618"/>
      <c r="O3019" s="618"/>
      <c r="P3019" s="618"/>
      <c r="Q3019" s="662"/>
      <c r="R3019" s="618"/>
      <c r="S3019" s="621"/>
      <c r="T3019" s="618"/>
    </row>
    <row r="3020" spans="1:20">
      <c r="A3020" s="630">
        <v>2103200</v>
      </c>
      <c r="B3020" s="623"/>
      <c r="C3020" s="623"/>
      <c r="D3020" s="623" t="s">
        <v>756</v>
      </c>
      <c r="E3020" s="627" t="s">
        <v>1064</v>
      </c>
      <c r="F3020" s="631" t="s">
        <v>3972</v>
      </c>
      <c r="G3020" s="661">
        <v>210</v>
      </c>
      <c r="H3020" s="633">
        <v>3200</v>
      </c>
      <c r="I3020" s="618"/>
      <c r="J3020" s="619" t="s">
        <v>1064</v>
      </c>
      <c r="K3020" s="618"/>
      <c r="L3020" s="619">
        <v>89</v>
      </c>
      <c r="M3020" s="620">
        <v>84</v>
      </c>
      <c r="N3020" s="619"/>
      <c r="O3020" s="619">
        <v>22</v>
      </c>
      <c r="P3020" s="619" t="s">
        <v>760</v>
      </c>
      <c r="Q3020" s="662"/>
      <c r="R3020" s="618"/>
      <c r="S3020" s="621" t="s">
        <v>695</v>
      </c>
      <c r="T3020" s="619" t="s">
        <v>1064</v>
      </c>
    </row>
    <row r="3021" spans="1:20">
      <c r="A3021" s="630">
        <v>2203200</v>
      </c>
      <c r="B3021" s="623"/>
      <c r="C3021" s="623"/>
      <c r="D3021" s="623" t="s">
        <v>775</v>
      </c>
      <c r="E3021" s="627" t="s">
        <v>1066</v>
      </c>
      <c r="F3021" s="631" t="s">
        <v>3973</v>
      </c>
      <c r="G3021" s="661">
        <v>220</v>
      </c>
      <c r="H3021" s="633">
        <v>3200</v>
      </c>
      <c r="I3021" s="618"/>
      <c r="J3021" s="619" t="s">
        <v>1066</v>
      </c>
      <c r="K3021" s="618"/>
      <c r="L3021" s="619">
        <v>90</v>
      </c>
      <c r="M3021" s="620">
        <v>85</v>
      </c>
      <c r="N3021" s="619"/>
      <c r="O3021" s="619">
        <v>22</v>
      </c>
      <c r="P3021" s="619" t="s">
        <v>760</v>
      </c>
      <c r="Q3021" s="662"/>
      <c r="R3021" s="618"/>
      <c r="S3021" s="621" t="s">
        <v>695</v>
      </c>
      <c r="T3021" s="619" t="s">
        <v>1066</v>
      </c>
    </row>
    <row r="3022" spans="1:20">
      <c r="A3022" s="630">
        <v>2253200</v>
      </c>
      <c r="B3022" s="623"/>
      <c r="C3022" s="623"/>
      <c r="D3022" s="623" t="s">
        <v>799</v>
      </c>
      <c r="E3022" s="627" t="s">
        <v>23</v>
      </c>
      <c r="F3022" s="631" t="s">
        <v>3974</v>
      </c>
      <c r="G3022" s="661">
        <v>225</v>
      </c>
      <c r="H3022" s="633">
        <v>3200</v>
      </c>
      <c r="I3022" s="618"/>
      <c r="J3022" s="619" t="s">
        <v>23</v>
      </c>
      <c r="K3022" s="618"/>
      <c r="L3022" s="619">
        <v>91</v>
      </c>
      <c r="M3022" s="620">
        <v>86</v>
      </c>
      <c r="N3022" s="619"/>
      <c r="O3022" s="619">
        <v>22</v>
      </c>
      <c r="P3022" s="619" t="s">
        <v>760</v>
      </c>
      <c r="Q3022" s="662"/>
      <c r="R3022" s="618"/>
      <c r="S3022" s="621" t="s">
        <v>695</v>
      </c>
      <c r="T3022" s="619" t="s">
        <v>23</v>
      </c>
    </row>
    <row r="3023" spans="1:20">
      <c r="A3023" s="622"/>
      <c r="B3023" s="623"/>
      <c r="C3023" s="623"/>
      <c r="D3023" s="623" t="s">
        <v>803</v>
      </c>
      <c r="E3023" s="627" t="s">
        <v>1069</v>
      </c>
      <c r="F3023" s="626"/>
      <c r="G3023" s="623"/>
      <c r="H3023" s="627"/>
      <c r="I3023" s="618"/>
      <c r="J3023" s="618"/>
      <c r="K3023" s="618"/>
      <c r="L3023" s="618"/>
      <c r="M3023" s="618"/>
      <c r="N3023" s="618"/>
      <c r="O3023" s="618"/>
      <c r="P3023" s="618"/>
      <c r="Q3023" s="662"/>
      <c r="R3023" s="618"/>
      <c r="S3023" s="621"/>
      <c r="T3023" s="618"/>
    </row>
    <row r="3024" spans="1:20">
      <c r="A3024" s="630">
        <v>2313200</v>
      </c>
      <c r="B3024" s="623"/>
      <c r="C3024" s="623"/>
      <c r="D3024" s="623"/>
      <c r="E3024" s="627" t="s">
        <v>1070</v>
      </c>
      <c r="F3024" s="631" t="s">
        <v>3975</v>
      </c>
      <c r="G3024" s="661">
        <v>231</v>
      </c>
      <c r="H3024" s="633">
        <v>3200</v>
      </c>
      <c r="I3024" s="618"/>
      <c r="J3024" s="619" t="s">
        <v>1070</v>
      </c>
      <c r="K3024" s="618"/>
      <c r="L3024" s="619">
        <v>92</v>
      </c>
      <c r="M3024" s="620">
        <v>87</v>
      </c>
      <c r="N3024" s="619"/>
      <c r="O3024" s="619">
        <v>22</v>
      </c>
      <c r="P3024" s="619" t="s">
        <v>760</v>
      </c>
      <c r="Q3024" s="662"/>
      <c r="R3024" s="618"/>
      <c r="S3024" s="621" t="s">
        <v>695</v>
      </c>
      <c r="T3024" s="619" t="s">
        <v>1072</v>
      </c>
    </row>
    <row r="3025" spans="1:20">
      <c r="A3025" s="630">
        <v>2333200</v>
      </c>
      <c r="B3025" s="623"/>
      <c r="C3025" s="623"/>
      <c r="D3025" s="623"/>
      <c r="E3025" s="627" t="s">
        <v>1073</v>
      </c>
      <c r="F3025" s="631" t="s">
        <v>3976</v>
      </c>
      <c r="G3025" s="661">
        <v>233</v>
      </c>
      <c r="H3025" s="633">
        <v>3200</v>
      </c>
      <c r="I3025" s="618"/>
      <c r="J3025" s="619" t="s">
        <v>1073</v>
      </c>
      <c r="K3025" s="618"/>
      <c r="L3025" s="619">
        <v>92</v>
      </c>
      <c r="M3025" s="620">
        <v>87</v>
      </c>
      <c r="N3025" s="619"/>
      <c r="O3025" s="619">
        <v>22</v>
      </c>
      <c r="P3025" s="619" t="s">
        <v>760</v>
      </c>
      <c r="Q3025" s="662"/>
      <c r="R3025" s="618"/>
      <c r="S3025" s="621" t="s">
        <v>695</v>
      </c>
      <c r="T3025" s="619" t="s">
        <v>1075</v>
      </c>
    </row>
    <row r="3026" spans="1:20">
      <c r="A3026" s="630">
        <v>2393200</v>
      </c>
      <c r="B3026" s="623"/>
      <c r="C3026" s="623"/>
      <c r="D3026" s="623"/>
      <c r="E3026" s="627" t="s">
        <v>1076</v>
      </c>
      <c r="F3026" s="631" t="s">
        <v>3977</v>
      </c>
      <c r="G3026" s="661">
        <v>239</v>
      </c>
      <c r="H3026" s="633">
        <v>3200</v>
      </c>
      <c r="I3026" s="618"/>
      <c r="J3026" s="619" t="s">
        <v>1076</v>
      </c>
      <c r="K3026" s="618"/>
      <c r="L3026" s="619">
        <v>92</v>
      </c>
      <c r="M3026" s="620">
        <v>87</v>
      </c>
      <c r="N3026" s="619"/>
      <c r="O3026" s="619">
        <v>22</v>
      </c>
      <c r="P3026" s="619" t="s">
        <v>760</v>
      </c>
      <c r="Q3026" s="662"/>
      <c r="R3026" s="618"/>
      <c r="S3026" s="621" t="s">
        <v>695</v>
      </c>
      <c r="T3026" s="619" t="s">
        <v>1078</v>
      </c>
    </row>
    <row r="3027" spans="1:20">
      <c r="A3027" s="630">
        <v>2503200</v>
      </c>
      <c r="B3027" s="623"/>
      <c r="C3027" s="623"/>
      <c r="D3027" s="623" t="s">
        <v>848</v>
      </c>
      <c r="E3027" s="627" t="s">
        <v>1079</v>
      </c>
      <c r="F3027" s="631" t="s">
        <v>3978</v>
      </c>
      <c r="G3027" s="661">
        <v>250</v>
      </c>
      <c r="H3027" s="633">
        <v>3200</v>
      </c>
      <c r="I3027" s="618"/>
      <c r="J3027" s="619" t="s">
        <v>1079</v>
      </c>
      <c r="K3027" s="618"/>
      <c r="L3027" s="619">
        <v>93</v>
      </c>
      <c r="M3027" s="620">
        <v>88</v>
      </c>
      <c r="N3027" s="619"/>
      <c r="O3027" s="619">
        <v>22</v>
      </c>
      <c r="P3027" s="619" t="s">
        <v>760</v>
      </c>
      <c r="Q3027" s="662"/>
      <c r="R3027" s="618"/>
      <c r="S3027" s="621" t="s">
        <v>695</v>
      </c>
      <c r="T3027" s="619" t="s">
        <v>1079</v>
      </c>
    </row>
    <row r="3028" spans="1:20">
      <c r="A3028" s="630">
        <v>2603200</v>
      </c>
      <c r="B3028" s="623"/>
      <c r="C3028" s="623"/>
      <c r="D3028" s="623" t="s">
        <v>851</v>
      </c>
      <c r="E3028" s="627" t="s">
        <v>1081</v>
      </c>
      <c r="F3028" s="631" t="s">
        <v>3979</v>
      </c>
      <c r="G3028" s="661">
        <v>260</v>
      </c>
      <c r="H3028" s="633">
        <v>3200</v>
      </c>
      <c r="I3028" s="618"/>
      <c r="J3028" s="619" t="s">
        <v>1081</v>
      </c>
      <c r="K3028" s="618"/>
      <c r="L3028" s="619">
        <v>95</v>
      </c>
      <c r="M3028" s="620">
        <v>90</v>
      </c>
      <c r="N3028" s="619"/>
      <c r="O3028" s="619">
        <v>22</v>
      </c>
      <c r="P3028" s="619" t="s">
        <v>760</v>
      </c>
      <c r="Q3028" s="662"/>
      <c r="R3028" s="618"/>
      <c r="S3028" s="621" t="s">
        <v>695</v>
      </c>
      <c r="T3028" s="619" t="s">
        <v>1081</v>
      </c>
    </row>
    <row r="3029" spans="1:20">
      <c r="A3029" s="630">
        <v>2703200</v>
      </c>
      <c r="B3029" s="623"/>
      <c r="C3029" s="623"/>
      <c r="D3029" s="623" t="s">
        <v>854</v>
      </c>
      <c r="E3029" s="627" t="s">
        <v>1083</v>
      </c>
      <c r="F3029" s="631" t="s">
        <v>3980</v>
      </c>
      <c r="G3029" s="661">
        <v>270</v>
      </c>
      <c r="H3029" s="633">
        <v>3200</v>
      </c>
      <c r="I3029" s="618"/>
      <c r="J3029" s="619" t="s">
        <v>1083</v>
      </c>
      <c r="K3029" s="618"/>
      <c r="L3029" s="619">
        <v>94</v>
      </c>
      <c r="M3029" s="620">
        <v>89</v>
      </c>
      <c r="N3029" s="619"/>
      <c r="O3029" s="619">
        <v>22</v>
      </c>
      <c r="P3029" s="619" t="s">
        <v>760</v>
      </c>
      <c r="Q3029" s="662"/>
      <c r="R3029" s="618"/>
      <c r="S3029" s="621" t="s">
        <v>695</v>
      </c>
      <c r="T3029" s="619" t="s">
        <v>1083</v>
      </c>
    </row>
    <row r="3030" spans="1:20">
      <c r="A3030" s="630">
        <v>2813200</v>
      </c>
      <c r="B3030" s="623"/>
      <c r="C3030" s="623"/>
      <c r="D3030" s="623" t="s">
        <v>857</v>
      </c>
      <c r="E3030" s="627" t="s">
        <v>1085</v>
      </c>
      <c r="F3030" s="631" t="s">
        <v>3981</v>
      </c>
      <c r="G3030" s="661">
        <v>281</v>
      </c>
      <c r="H3030" s="633">
        <v>3200</v>
      </c>
      <c r="I3030" s="618"/>
      <c r="J3030" s="619" t="s">
        <v>1085</v>
      </c>
      <c r="K3030" s="618"/>
      <c r="L3030" s="619">
        <v>95</v>
      </c>
      <c r="M3030" s="620">
        <v>90</v>
      </c>
      <c r="N3030" s="619"/>
      <c r="O3030" s="619">
        <v>22</v>
      </c>
      <c r="P3030" s="619" t="s">
        <v>760</v>
      </c>
      <c r="Q3030" s="662"/>
      <c r="R3030" s="618"/>
      <c r="S3030" s="621" t="s">
        <v>695</v>
      </c>
      <c r="T3030" s="619" t="s">
        <v>1085</v>
      </c>
    </row>
    <row r="3031" spans="1:20">
      <c r="A3031" s="630">
        <v>2823200</v>
      </c>
      <c r="B3031" s="623"/>
      <c r="C3031" s="623"/>
      <c r="D3031" s="623" t="s">
        <v>860</v>
      </c>
      <c r="E3031" s="627" t="s">
        <v>1087</v>
      </c>
      <c r="F3031" s="631" t="s">
        <v>3982</v>
      </c>
      <c r="G3031" s="661">
        <v>282</v>
      </c>
      <c r="H3031" s="633">
        <v>3200</v>
      </c>
      <c r="I3031" s="618"/>
      <c r="J3031" s="619" t="s">
        <v>1087</v>
      </c>
      <c r="K3031" s="618"/>
      <c r="L3031" s="619">
        <v>95</v>
      </c>
      <c r="M3031" s="620">
        <v>90</v>
      </c>
      <c r="N3031" s="619"/>
      <c r="O3031" s="619">
        <v>22</v>
      </c>
      <c r="P3031" s="619" t="s">
        <v>760</v>
      </c>
      <c r="Q3031" s="662"/>
      <c r="R3031" s="618"/>
      <c r="S3031" s="621" t="s">
        <v>695</v>
      </c>
      <c r="T3031" s="619" t="s">
        <v>1087</v>
      </c>
    </row>
    <row r="3032" spans="1:20" ht="16" thickBot="1">
      <c r="A3032" s="630">
        <v>2903200</v>
      </c>
      <c r="B3032" s="667"/>
      <c r="C3032" s="623"/>
      <c r="D3032" s="623" t="s">
        <v>1089</v>
      </c>
      <c r="E3032" s="627" t="s">
        <v>1090</v>
      </c>
      <c r="F3032" s="631" t="s">
        <v>3983</v>
      </c>
      <c r="G3032" s="661">
        <v>290</v>
      </c>
      <c r="H3032" s="633">
        <v>3200</v>
      </c>
      <c r="I3032" s="618"/>
      <c r="J3032" s="619" t="s">
        <v>1090</v>
      </c>
      <c r="K3032" s="618"/>
      <c r="L3032" s="619">
        <v>95</v>
      </c>
      <c r="M3032" s="620">
        <v>90</v>
      </c>
      <c r="N3032" s="619"/>
      <c r="O3032" s="619">
        <v>22</v>
      </c>
      <c r="P3032" s="619" t="s">
        <v>760</v>
      </c>
      <c r="Q3032" s="662"/>
      <c r="R3032" s="618"/>
      <c r="S3032" s="621" t="s">
        <v>695</v>
      </c>
      <c r="T3032" s="619" t="s">
        <v>1090</v>
      </c>
    </row>
    <row r="3033" spans="1:20" ht="16.5" thickTop="1" thickBot="1">
      <c r="A3033" s="622"/>
      <c r="B3033" s="613"/>
      <c r="C3033" s="772" t="s">
        <v>3984</v>
      </c>
      <c r="D3033" s="773"/>
      <c r="E3033" s="782"/>
      <c r="F3033" s="656" t="s">
        <v>618</v>
      </c>
      <c r="G3033" s="657"/>
      <c r="H3033" s="658"/>
      <c r="I3033" s="618"/>
      <c r="J3033" s="618"/>
      <c r="K3033" s="618"/>
      <c r="L3033" s="618"/>
      <c r="M3033" s="618"/>
      <c r="N3033" s="618"/>
      <c r="O3033" s="618"/>
      <c r="P3033" s="618"/>
      <c r="Q3033" s="662"/>
      <c r="R3033" s="618"/>
      <c r="S3033" s="621"/>
      <c r="T3033" s="618"/>
    </row>
    <row r="3034" spans="1:20" ht="16" thickTop="1">
      <c r="A3034" s="622"/>
      <c r="B3034" s="623"/>
      <c r="C3034" s="623"/>
      <c r="D3034" s="623"/>
      <c r="E3034" s="627"/>
      <c r="F3034" s="626"/>
      <c r="G3034" s="623"/>
      <c r="H3034" s="627"/>
      <c r="I3034" s="618"/>
      <c r="J3034" s="618"/>
      <c r="K3034" s="618"/>
      <c r="L3034" s="618"/>
      <c r="M3034" s="618"/>
      <c r="N3034" s="618"/>
      <c r="O3034" s="618"/>
      <c r="P3034" s="618"/>
      <c r="Q3034" s="662"/>
      <c r="R3034" s="618"/>
      <c r="S3034" s="621"/>
      <c r="T3034" s="618"/>
    </row>
    <row r="3035" spans="1:20">
      <c r="A3035" s="622"/>
      <c r="B3035" s="628" t="s">
        <v>1227</v>
      </c>
      <c r="C3035" s="790" t="s">
        <v>3985</v>
      </c>
      <c r="D3035" s="771"/>
      <c r="E3035" s="775"/>
      <c r="F3035" s="626"/>
      <c r="G3035" s="623"/>
      <c r="H3035" s="627"/>
      <c r="I3035" s="618"/>
      <c r="J3035" s="618"/>
      <c r="K3035" s="618"/>
      <c r="L3035" s="618"/>
      <c r="M3035" s="618"/>
      <c r="N3035" s="618"/>
      <c r="O3035" s="618"/>
      <c r="P3035" s="618"/>
      <c r="Q3035" s="662"/>
      <c r="R3035" s="618"/>
      <c r="S3035" s="621"/>
      <c r="T3035" s="618"/>
    </row>
    <row r="3036" spans="1:20">
      <c r="A3036" s="622"/>
      <c r="B3036" s="623"/>
      <c r="C3036" s="629">
        <v>106</v>
      </c>
      <c r="D3036" s="774" t="s">
        <v>244</v>
      </c>
      <c r="E3036" s="775"/>
      <c r="F3036" s="626"/>
      <c r="G3036" s="623"/>
      <c r="H3036" s="627"/>
      <c r="I3036" s="618"/>
      <c r="J3036" s="618"/>
      <c r="K3036" s="618"/>
      <c r="L3036" s="618"/>
      <c r="M3036" s="618"/>
      <c r="N3036" s="618"/>
      <c r="O3036" s="618"/>
      <c r="P3036" s="618"/>
      <c r="Q3036" s="662"/>
      <c r="R3036" s="618"/>
      <c r="S3036" s="621"/>
      <c r="T3036" s="618"/>
    </row>
    <row r="3037" spans="1:20">
      <c r="A3037" s="630">
        <v>1113300</v>
      </c>
      <c r="B3037" s="623"/>
      <c r="C3037" s="623"/>
      <c r="D3037" s="623" t="s">
        <v>756</v>
      </c>
      <c r="E3037" s="627" t="s">
        <v>3952</v>
      </c>
      <c r="F3037" s="631" t="s">
        <v>3986</v>
      </c>
      <c r="G3037" s="661">
        <v>111</v>
      </c>
      <c r="H3037" s="633">
        <v>3300</v>
      </c>
      <c r="I3037" s="618"/>
      <c r="J3037" s="619" t="s">
        <v>3952</v>
      </c>
      <c r="K3037" s="618"/>
      <c r="L3037" s="619">
        <v>81</v>
      </c>
      <c r="M3037" s="620">
        <v>76</v>
      </c>
      <c r="N3037" s="619"/>
      <c r="O3037" s="619">
        <v>23</v>
      </c>
      <c r="P3037" s="619" t="s">
        <v>760</v>
      </c>
      <c r="Q3037" s="662"/>
      <c r="R3037" s="618"/>
      <c r="S3037" s="621" t="s">
        <v>3987</v>
      </c>
      <c r="T3037" s="619" t="s">
        <v>3952</v>
      </c>
    </row>
    <row r="3038" spans="1:20">
      <c r="A3038" s="630">
        <v>1143300</v>
      </c>
      <c r="B3038" s="623"/>
      <c r="C3038" s="623"/>
      <c r="D3038" s="623" t="s">
        <v>775</v>
      </c>
      <c r="E3038" s="627" t="s">
        <v>1853</v>
      </c>
      <c r="F3038" s="631" t="s">
        <v>3988</v>
      </c>
      <c r="G3038" s="661">
        <v>114</v>
      </c>
      <c r="H3038" s="633">
        <v>3300</v>
      </c>
      <c r="I3038" s="618"/>
      <c r="J3038" s="619" t="s">
        <v>1853</v>
      </c>
      <c r="K3038" s="618"/>
      <c r="L3038" s="619">
        <v>84</v>
      </c>
      <c r="M3038" s="620">
        <v>79</v>
      </c>
      <c r="N3038" s="619"/>
      <c r="O3038" s="619">
        <v>23</v>
      </c>
      <c r="P3038" s="619" t="s">
        <v>760</v>
      </c>
      <c r="Q3038" s="662"/>
      <c r="R3038" s="618"/>
      <c r="S3038" s="621" t="s">
        <v>3987</v>
      </c>
      <c r="T3038" s="619" t="s">
        <v>1853</v>
      </c>
    </row>
    <row r="3039" spans="1:20">
      <c r="A3039" s="630">
        <v>1003300</v>
      </c>
      <c r="B3039" s="623"/>
      <c r="C3039" s="623"/>
      <c r="D3039" s="623" t="s">
        <v>799</v>
      </c>
      <c r="E3039" s="627" t="s">
        <v>3955</v>
      </c>
      <c r="F3039" s="631" t="s">
        <v>3989</v>
      </c>
      <c r="G3039" s="661">
        <v>100</v>
      </c>
      <c r="H3039" s="633">
        <v>3300</v>
      </c>
      <c r="I3039" s="618"/>
      <c r="J3039" s="619" t="s">
        <v>3955</v>
      </c>
      <c r="K3039" s="618"/>
      <c r="L3039" s="619">
        <v>86</v>
      </c>
      <c r="M3039" s="620">
        <v>81</v>
      </c>
      <c r="N3039" s="619"/>
      <c r="O3039" s="619">
        <v>23</v>
      </c>
      <c r="P3039" s="619" t="s">
        <v>760</v>
      </c>
      <c r="Q3039" s="662"/>
      <c r="R3039" s="618"/>
      <c r="S3039" s="621" t="s">
        <v>3987</v>
      </c>
      <c r="T3039" s="619" t="s">
        <v>3955</v>
      </c>
    </row>
    <row r="3040" spans="1:20">
      <c r="A3040" s="630">
        <v>3003300</v>
      </c>
      <c r="B3040" s="628"/>
      <c r="C3040" s="629">
        <v>107</v>
      </c>
      <c r="D3040" s="774" t="s">
        <v>1112</v>
      </c>
      <c r="E3040" s="775"/>
      <c r="F3040" s="631" t="s">
        <v>3990</v>
      </c>
      <c r="G3040" s="661">
        <v>300</v>
      </c>
      <c r="H3040" s="633">
        <v>3300</v>
      </c>
      <c r="I3040" s="618"/>
      <c r="J3040" s="619" t="s">
        <v>1112</v>
      </c>
      <c r="K3040" s="618"/>
      <c r="L3040" s="619">
        <v>101</v>
      </c>
      <c r="M3040" s="620">
        <v>96</v>
      </c>
      <c r="N3040" s="619"/>
      <c r="O3040" s="619">
        <v>23</v>
      </c>
      <c r="P3040" s="619" t="s">
        <v>760</v>
      </c>
      <c r="Q3040" s="662"/>
      <c r="R3040" s="618"/>
      <c r="S3040" s="621" t="s">
        <v>3987</v>
      </c>
      <c r="T3040" s="619" t="s">
        <v>1112</v>
      </c>
    </row>
    <row r="3041" spans="1:20">
      <c r="A3041" s="622"/>
      <c r="B3041" s="628"/>
      <c r="C3041" s="629">
        <v>108</v>
      </c>
      <c r="D3041" s="774" t="s">
        <v>250</v>
      </c>
      <c r="E3041" s="775"/>
      <c r="F3041" s="626"/>
      <c r="G3041" s="623"/>
      <c r="H3041" s="627"/>
      <c r="I3041" s="618"/>
      <c r="J3041" s="618"/>
      <c r="K3041" s="618"/>
      <c r="L3041" s="618"/>
      <c r="M3041" s="618"/>
      <c r="N3041" s="618"/>
      <c r="O3041" s="618"/>
      <c r="P3041" s="618"/>
      <c r="Q3041" s="662"/>
      <c r="R3041" s="618"/>
      <c r="S3041" s="621"/>
      <c r="T3041" s="618"/>
    </row>
    <row r="3042" spans="1:20">
      <c r="A3042" s="630">
        <v>4303300</v>
      </c>
      <c r="B3042" s="623"/>
      <c r="C3042" s="623"/>
      <c r="D3042" s="623" t="s">
        <v>756</v>
      </c>
      <c r="E3042" s="627" t="s">
        <v>1021</v>
      </c>
      <c r="F3042" s="631" t="s">
        <v>3991</v>
      </c>
      <c r="G3042" s="661">
        <v>430</v>
      </c>
      <c r="H3042" s="633">
        <v>3300</v>
      </c>
      <c r="I3042" s="618"/>
      <c r="J3042" s="619" t="s">
        <v>1021</v>
      </c>
      <c r="K3042" s="618"/>
      <c r="L3042" s="619">
        <v>107</v>
      </c>
      <c r="M3042" s="620">
        <v>102</v>
      </c>
      <c r="N3042" s="619"/>
      <c r="O3042" s="619">
        <v>23</v>
      </c>
      <c r="P3042" s="619" t="s">
        <v>760</v>
      </c>
      <c r="Q3042" s="662"/>
      <c r="R3042" s="618"/>
      <c r="S3042" s="621" t="s">
        <v>3987</v>
      </c>
      <c r="T3042" s="619" t="s">
        <v>1021</v>
      </c>
    </row>
    <row r="3043" spans="1:20">
      <c r="A3043" s="630">
        <v>4003300</v>
      </c>
      <c r="B3043" s="628"/>
      <c r="C3043" s="623"/>
      <c r="D3043" s="623" t="s">
        <v>775</v>
      </c>
      <c r="E3043" s="627" t="s">
        <v>1025</v>
      </c>
      <c r="F3043" s="631" t="s">
        <v>3992</v>
      </c>
      <c r="G3043" s="661">
        <v>400</v>
      </c>
      <c r="H3043" s="633">
        <v>3300</v>
      </c>
      <c r="I3043" s="618"/>
      <c r="J3043" s="619" t="s">
        <v>1025</v>
      </c>
      <c r="K3043" s="618"/>
      <c r="L3043" s="619">
        <v>108</v>
      </c>
      <c r="M3043" s="620">
        <v>103</v>
      </c>
      <c r="N3043" s="619"/>
      <c r="O3043" s="619">
        <v>23</v>
      </c>
      <c r="P3043" s="619" t="s">
        <v>760</v>
      </c>
      <c r="Q3043" s="662"/>
      <c r="R3043" s="618"/>
      <c r="S3043" s="621" t="s">
        <v>3987</v>
      </c>
      <c r="T3043" s="619" t="s">
        <v>1025</v>
      </c>
    </row>
    <row r="3044" spans="1:20">
      <c r="A3044" s="622"/>
      <c r="B3044" s="628"/>
      <c r="C3044" s="629">
        <v>109</v>
      </c>
      <c r="D3044" s="774" t="s">
        <v>252</v>
      </c>
      <c r="E3044" s="775"/>
      <c r="F3044" s="626"/>
      <c r="G3044" s="623"/>
      <c r="H3044" s="627"/>
      <c r="I3044" s="618"/>
      <c r="J3044" s="618"/>
      <c r="K3044" s="618"/>
      <c r="L3044" s="618"/>
      <c r="M3044" s="618"/>
      <c r="N3044" s="618"/>
      <c r="O3044" s="618"/>
      <c r="P3044" s="618"/>
      <c r="Q3044" s="662"/>
      <c r="R3044" s="618"/>
      <c r="S3044" s="621"/>
      <c r="T3044" s="618"/>
    </row>
    <row r="3045" spans="1:20">
      <c r="A3045" s="630">
        <v>5823300</v>
      </c>
      <c r="B3045" s="628"/>
      <c r="C3045" s="623"/>
      <c r="D3045" s="623" t="s">
        <v>756</v>
      </c>
      <c r="E3045" s="627" t="s">
        <v>1037</v>
      </c>
      <c r="F3045" s="631" t="s">
        <v>3993</v>
      </c>
      <c r="G3045" s="661">
        <v>582</v>
      </c>
      <c r="H3045" s="633">
        <v>3300</v>
      </c>
      <c r="I3045" s="618"/>
      <c r="J3045" s="619" t="s">
        <v>1037</v>
      </c>
      <c r="K3045" s="618"/>
      <c r="L3045" s="619">
        <v>118</v>
      </c>
      <c r="M3045" s="620">
        <v>109</v>
      </c>
      <c r="N3045" s="619"/>
      <c r="O3045" s="619">
        <v>23</v>
      </c>
      <c r="P3045" s="619" t="s">
        <v>760</v>
      </c>
      <c r="Q3045" s="662"/>
      <c r="R3045" s="618"/>
      <c r="S3045" s="621" t="s">
        <v>3987</v>
      </c>
      <c r="T3045" s="619" t="s">
        <v>1037</v>
      </c>
    </row>
    <row r="3046" spans="1:20">
      <c r="A3046" s="630">
        <v>5003300</v>
      </c>
      <c r="B3046" s="628"/>
      <c r="C3046" s="623"/>
      <c r="D3046" s="623" t="s">
        <v>775</v>
      </c>
      <c r="E3046" s="627" t="s">
        <v>252</v>
      </c>
      <c r="F3046" s="631" t="s">
        <v>3994</v>
      </c>
      <c r="G3046" s="661">
        <v>500</v>
      </c>
      <c r="H3046" s="633">
        <v>3300</v>
      </c>
      <c r="I3046" s="618"/>
      <c r="J3046" s="619" t="s">
        <v>252</v>
      </c>
      <c r="K3046" s="618"/>
      <c r="L3046" s="619">
        <v>119</v>
      </c>
      <c r="M3046" s="620">
        <v>110</v>
      </c>
      <c r="N3046" s="619"/>
      <c r="O3046" s="619">
        <v>23</v>
      </c>
      <c r="P3046" s="619" t="s">
        <v>760</v>
      </c>
      <c r="Q3046" s="662"/>
      <c r="R3046" s="618"/>
      <c r="S3046" s="621" t="s">
        <v>3987</v>
      </c>
      <c r="T3046" s="619" t="s">
        <v>252</v>
      </c>
    </row>
    <row r="3047" spans="1:20">
      <c r="A3047" s="622"/>
      <c r="B3047" s="628"/>
      <c r="C3047" s="629">
        <v>110</v>
      </c>
      <c r="D3047" s="774" t="s">
        <v>254</v>
      </c>
      <c r="E3047" s="775"/>
      <c r="F3047" s="626"/>
      <c r="G3047" s="623"/>
      <c r="H3047" s="627"/>
      <c r="I3047" s="618"/>
      <c r="J3047" s="618"/>
      <c r="K3047" s="618"/>
      <c r="L3047" s="618"/>
      <c r="M3047" s="618"/>
      <c r="N3047" s="618"/>
      <c r="O3047" s="618"/>
      <c r="P3047" s="618"/>
      <c r="Q3047" s="662"/>
      <c r="R3047" s="618"/>
      <c r="S3047" s="621"/>
      <c r="T3047" s="618"/>
    </row>
    <row r="3048" spans="1:20">
      <c r="A3048" s="630">
        <v>6153300</v>
      </c>
      <c r="B3048" s="628"/>
      <c r="C3048" s="623"/>
      <c r="D3048" s="623" t="s">
        <v>756</v>
      </c>
      <c r="E3048" s="627" t="s">
        <v>1041</v>
      </c>
      <c r="F3048" s="631" t="s">
        <v>3995</v>
      </c>
      <c r="G3048" s="661">
        <v>615</v>
      </c>
      <c r="H3048" s="633">
        <v>3300</v>
      </c>
      <c r="I3048" s="618"/>
      <c r="J3048" s="619" t="s">
        <v>1041</v>
      </c>
      <c r="K3048" s="618"/>
      <c r="L3048" s="619">
        <v>126</v>
      </c>
      <c r="M3048" s="620">
        <v>117</v>
      </c>
      <c r="N3048" s="619"/>
      <c r="O3048" s="619">
        <v>23</v>
      </c>
      <c r="P3048" s="619" t="s">
        <v>760</v>
      </c>
      <c r="Q3048" s="662" t="s">
        <v>1043</v>
      </c>
      <c r="R3048" s="618"/>
      <c r="S3048" s="621" t="s">
        <v>3987</v>
      </c>
      <c r="T3048" s="619" t="s">
        <v>1041</v>
      </c>
    </row>
    <row r="3049" spans="1:20">
      <c r="A3049" s="630">
        <v>6103300</v>
      </c>
      <c r="B3049" s="628"/>
      <c r="C3049" s="623"/>
      <c r="D3049" s="623" t="s">
        <v>775</v>
      </c>
      <c r="E3049" s="627" t="s">
        <v>39</v>
      </c>
      <c r="F3049" s="631" t="s">
        <v>3996</v>
      </c>
      <c r="G3049" s="661">
        <v>610</v>
      </c>
      <c r="H3049" s="633">
        <v>3300</v>
      </c>
      <c r="I3049" s="618"/>
      <c r="J3049" s="619" t="s">
        <v>39</v>
      </c>
      <c r="K3049" s="618"/>
      <c r="L3049" s="619">
        <v>122</v>
      </c>
      <c r="M3049" s="620">
        <v>113</v>
      </c>
      <c r="N3049" s="619"/>
      <c r="O3049" s="619">
        <v>23</v>
      </c>
      <c r="P3049" s="619" t="s">
        <v>760</v>
      </c>
      <c r="Q3049" s="662" t="s">
        <v>1043</v>
      </c>
      <c r="R3049" s="618"/>
      <c r="S3049" s="621" t="s">
        <v>3987</v>
      </c>
      <c r="T3049" s="619" t="s">
        <v>39</v>
      </c>
    </row>
    <row r="3050" spans="1:20">
      <c r="A3050" s="630">
        <v>6003300</v>
      </c>
      <c r="B3050" s="628"/>
      <c r="C3050" s="623"/>
      <c r="D3050" s="623" t="s">
        <v>799</v>
      </c>
      <c r="E3050" s="627" t="s">
        <v>1048</v>
      </c>
      <c r="F3050" s="631" t="s">
        <v>3997</v>
      </c>
      <c r="G3050" s="661">
        <v>600</v>
      </c>
      <c r="H3050" s="633">
        <v>3300</v>
      </c>
      <c r="I3050" s="618"/>
      <c r="J3050" s="619" t="s">
        <v>1048</v>
      </c>
      <c r="K3050" s="618"/>
      <c r="L3050" s="619">
        <v>126</v>
      </c>
      <c r="M3050" s="620">
        <v>117</v>
      </c>
      <c r="N3050" s="619"/>
      <c r="O3050" s="619">
        <v>23</v>
      </c>
      <c r="P3050" s="619" t="s">
        <v>760</v>
      </c>
      <c r="Q3050" s="662"/>
      <c r="R3050" s="618"/>
      <c r="S3050" s="621" t="s">
        <v>3987</v>
      </c>
      <c r="T3050" s="619" t="s">
        <v>1048</v>
      </c>
    </row>
    <row r="3051" spans="1:20">
      <c r="A3051" s="622"/>
      <c r="B3051" s="628"/>
      <c r="C3051" s="629">
        <v>111</v>
      </c>
      <c r="D3051" s="623"/>
      <c r="E3051" s="627" t="s">
        <v>3998</v>
      </c>
      <c r="F3051" s="626"/>
      <c r="G3051" s="623"/>
      <c r="H3051" s="627"/>
      <c r="I3051" s="618"/>
      <c r="J3051" s="618"/>
      <c r="K3051" s="618"/>
      <c r="L3051" s="618"/>
      <c r="M3051" s="618"/>
      <c r="N3051" s="618"/>
      <c r="O3051" s="618"/>
      <c r="P3051" s="618"/>
      <c r="Q3051" s="662"/>
      <c r="R3051" s="618"/>
      <c r="S3051" s="621"/>
      <c r="T3051" s="618"/>
    </row>
    <row r="3052" spans="1:20">
      <c r="A3052" s="630">
        <v>7343300</v>
      </c>
      <c r="B3052" s="628"/>
      <c r="C3052" s="623"/>
      <c r="D3052" s="623" t="s">
        <v>756</v>
      </c>
      <c r="E3052" s="627" t="s">
        <v>1051</v>
      </c>
      <c r="F3052" s="631" t="s">
        <v>3999</v>
      </c>
      <c r="G3052" s="661">
        <v>734</v>
      </c>
      <c r="H3052" s="633">
        <v>3300</v>
      </c>
      <c r="I3052" s="618"/>
      <c r="J3052" s="619" t="s">
        <v>1051</v>
      </c>
      <c r="K3052" s="618"/>
      <c r="L3052" s="619">
        <v>131</v>
      </c>
      <c r="M3052" s="620">
        <v>122</v>
      </c>
      <c r="N3052" s="619"/>
      <c r="O3052" s="619">
        <v>23</v>
      </c>
      <c r="P3052" s="619" t="s">
        <v>760</v>
      </c>
      <c r="Q3052" s="662"/>
      <c r="R3052" s="618"/>
      <c r="S3052" s="621" t="s">
        <v>3987</v>
      </c>
      <c r="T3052" s="619" t="s">
        <v>1051</v>
      </c>
    </row>
    <row r="3053" spans="1:20">
      <c r="A3053" s="630">
        <v>7353300</v>
      </c>
      <c r="B3053" s="628"/>
      <c r="C3053" s="623"/>
      <c r="D3053" s="623" t="s">
        <v>775</v>
      </c>
      <c r="E3053" s="627" t="s">
        <v>1053</v>
      </c>
      <c r="F3053" s="631" t="s">
        <v>4000</v>
      </c>
      <c r="G3053" s="661">
        <v>735</v>
      </c>
      <c r="H3053" s="633">
        <v>3300</v>
      </c>
      <c r="I3053" s="618"/>
      <c r="J3053" s="619" t="s">
        <v>1053</v>
      </c>
      <c r="K3053" s="618"/>
      <c r="L3053" s="619">
        <v>131</v>
      </c>
      <c r="M3053" s="620">
        <v>122</v>
      </c>
      <c r="N3053" s="619"/>
      <c r="O3053" s="619">
        <v>23</v>
      </c>
      <c r="P3053" s="619" t="s">
        <v>760</v>
      </c>
      <c r="Q3053" s="662"/>
      <c r="R3053" s="618"/>
      <c r="S3053" s="621" t="s">
        <v>3987</v>
      </c>
      <c r="T3053" s="619" t="s">
        <v>1053</v>
      </c>
    </row>
    <row r="3054" spans="1:20">
      <c r="A3054" s="630">
        <v>7303300</v>
      </c>
      <c r="B3054" s="628"/>
      <c r="C3054" s="623"/>
      <c r="D3054" s="623" t="s">
        <v>799</v>
      </c>
      <c r="E3054" s="627" t="s">
        <v>1055</v>
      </c>
      <c r="F3054" s="631" t="s">
        <v>4001</v>
      </c>
      <c r="G3054" s="661">
        <v>730</v>
      </c>
      <c r="H3054" s="633">
        <v>3300</v>
      </c>
      <c r="I3054" s="618"/>
      <c r="J3054" s="619" t="s">
        <v>1055</v>
      </c>
      <c r="K3054" s="618"/>
      <c r="L3054" s="619">
        <v>131</v>
      </c>
      <c r="M3054" s="620">
        <v>122</v>
      </c>
      <c r="N3054" s="619"/>
      <c r="O3054" s="619">
        <v>23</v>
      </c>
      <c r="P3054" s="619" t="s">
        <v>760</v>
      </c>
      <c r="Q3054" s="662"/>
      <c r="R3054" s="618"/>
      <c r="S3054" s="621" t="s">
        <v>3987</v>
      </c>
      <c r="T3054" s="619" t="s">
        <v>1055</v>
      </c>
    </row>
    <row r="3055" spans="1:20">
      <c r="A3055" s="630">
        <v>7003300</v>
      </c>
      <c r="B3055" s="628"/>
      <c r="C3055" s="623"/>
      <c r="D3055" s="623" t="s">
        <v>803</v>
      </c>
      <c r="E3055" s="627" t="s">
        <v>1057</v>
      </c>
      <c r="F3055" s="631" t="s">
        <v>4002</v>
      </c>
      <c r="G3055" s="661">
        <v>700</v>
      </c>
      <c r="H3055" s="633">
        <v>3300</v>
      </c>
      <c r="I3055" s="618"/>
      <c r="J3055" s="619" t="s">
        <v>1057</v>
      </c>
      <c r="K3055" s="618"/>
      <c r="L3055" s="619">
        <v>132</v>
      </c>
      <c r="M3055" s="620">
        <v>123</v>
      </c>
      <c r="N3055" s="619"/>
      <c r="O3055" s="619">
        <v>23</v>
      </c>
      <c r="P3055" s="619" t="s">
        <v>760</v>
      </c>
      <c r="Q3055" s="662"/>
      <c r="R3055" s="618"/>
      <c r="S3055" s="621" t="s">
        <v>3987</v>
      </c>
      <c r="T3055" s="619" t="s">
        <v>1057</v>
      </c>
    </row>
    <row r="3056" spans="1:20">
      <c r="A3056" s="622"/>
      <c r="B3056" s="628"/>
      <c r="C3056" s="629">
        <v>112</v>
      </c>
      <c r="D3056" s="774" t="s">
        <v>256</v>
      </c>
      <c r="E3056" s="775"/>
      <c r="F3056" s="626"/>
      <c r="G3056" s="623"/>
      <c r="H3056" s="627"/>
      <c r="I3056" s="618"/>
      <c r="J3056" s="618"/>
      <c r="K3056" s="618"/>
      <c r="L3056" s="618"/>
      <c r="M3056" s="618"/>
      <c r="N3056" s="618"/>
      <c r="O3056" s="618"/>
      <c r="P3056" s="618"/>
      <c r="Q3056" s="662"/>
      <c r="R3056" s="618"/>
      <c r="S3056" s="621"/>
      <c r="T3056" s="618"/>
    </row>
    <row r="3057" spans="1:20">
      <c r="A3057" s="630">
        <v>8953300</v>
      </c>
      <c r="B3057" s="628"/>
      <c r="C3057" s="623"/>
      <c r="D3057" s="623" t="s">
        <v>756</v>
      </c>
      <c r="E3057" s="627" t="s">
        <v>1059</v>
      </c>
      <c r="F3057" s="631" t="s">
        <v>4003</v>
      </c>
      <c r="G3057" s="661">
        <v>895</v>
      </c>
      <c r="H3057" s="633">
        <v>3300</v>
      </c>
      <c r="I3057" s="618"/>
      <c r="J3057" s="619" t="s">
        <v>1059</v>
      </c>
      <c r="K3057" s="618"/>
      <c r="L3057" s="619">
        <v>139</v>
      </c>
      <c r="M3057" s="620">
        <v>129</v>
      </c>
      <c r="N3057" s="619"/>
      <c r="O3057" s="619">
        <v>23</v>
      </c>
      <c r="P3057" s="619" t="s">
        <v>760</v>
      </c>
      <c r="Q3057" s="662"/>
      <c r="R3057" s="618"/>
      <c r="S3057" s="621" t="s">
        <v>3987</v>
      </c>
      <c r="T3057" s="619" t="s">
        <v>1059</v>
      </c>
    </row>
    <row r="3058" spans="1:20">
      <c r="A3058" s="630">
        <v>8003300</v>
      </c>
      <c r="B3058" s="628"/>
      <c r="C3058" s="623"/>
      <c r="D3058" s="623" t="s">
        <v>775</v>
      </c>
      <c r="E3058" s="627" t="s">
        <v>1061</v>
      </c>
      <c r="F3058" s="631" t="s">
        <v>4004</v>
      </c>
      <c r="G3058" s="661">
        <v>800</v>
      </c>
      <c r="H3058" s="633">
        <v>3300</v>
      </c>
      <c r="I3058" s="618"/>
      <c r="J3058" s="619" t="s">
        <v>1061</v>
      </c>
      <c r="K3058" s="618"/>
      <c r="L3058" s="619">
        <v>139</v>
      </c>
      <c r="M3058" s="620">
        <v>129</v>
      </c>
      <c r="N3058" s="619"/>
      <c r="O3058" s="619">
        <v>23</v>
      </c>
      <c r="P3058" s="619" t="s">
        <v>760</v>
      </c>
      <c r="Q3058" s="662"/>
      <c r="R3058" s="618"/>
      <c r="S3058" s="621" t="s">
        <v>3987</v>
      </c>
      <c r="T3058" s="619" t="s">
        <v>1061</v>
      </c>
    </row>
    <row r="3059" spans="1:20">
      <c r="A3059" s="622"/>
      <c r="B3059" s="623"/>
      <c r="C3059" s="629">
        <v>113</v>
      </c>
      <c r="D3059" s="774" t="s">
        <v>4005</v>
      </c>
      <c r="E3059" s="775"/>
      <c r="F3059" s="626"/>
      <c r="G3059" s="623"/>
      <c r="H3059" s="627"/>
      <c r="I3059" s="618"/>
      <c r="J3059" s="618"/>
      <c r="K3059" s="618"/>
      <c r="L3059" s="618"/>
      <c r="M3059" s="618"/>
      <c r="N3059" s="618"/>
      <c r="O3059" s="618"/>
      <c r="P3059" s="618"/>
      <c r="Q3059" s="662"/>
      <c r="R3059" s="618"/>
      <c r="S3059" s="621"/>
      <c r="T3059" s="618"/>
    </row>
    <row r="3060" spans="1:20">
      <c r="A3060" s="630">
        <v>2103300</v>
      </c>
      <c r="B3060" s="623"/>
      <c r="C3060" s="623"/>
      <c r="D3060" s="623" t="s">
        <v>756</v>
      </c>
      <c r="E3060" s="627" t="s">
        <v>1064</v>
      </c>
      <c r="F3060" s="631" t="s">
        <v>4006</v>
      </c>
      <c r="G3060" s="661">
        <v>210</v>
      </c>
      <c r="H3060" s="633">
        <v>3300</v>
      </c>
      <c r="I3060" s="618"/>
      <c r="J3060" s="619" t="s">
        <v>1064</v>
      </c>
      <c r="K3060" s="618"/>
      <c r="L3060" s="619">
        <v>89</v>
      </c>
      <c r="M3060" s="620">
        <v>84</v>
      </c>
      <c r="N3060" s="619"/>
      <c r="O3060" s="619">
        <v>23</v>
      </c>
      <c r="P3060" s="619" t="s">
        <v>760</v>
      </c>
      <c r="Q3060" s="662"/>
      <c r="R3060" s="618"/>
      <c r="S3060" s="621" t="s">
        <v>3987</v>
      </c>
      <c r="T3060" s="619" t="s">
        <v>1064</v>
      </c>
    </row>
    <row r="3061" spans="1:20">
      <c r="A3061" s="630">
        <v>2203300</v>
      </c>
      <c r="B3061" s="623"/>
      <c r="C3061" s="623"/>
      <c r="D3061" s="623" t="s">
        <v>775</v>
      </c>
      <c r="E3061" s="627" t="s">
        <v>1066</v>
      </c>
      <c r="F3061" s="631" t="s">
        <v>4007</v>
      </c>
      <c r="G3061" s="661">
        <v>220</v>
      </c>
      <c r="H3061" s="633">
        <v>3300</v>
      </c>
      <c r="I3061" s="618"/>
      <c r="J3061" s="619" t="s">
        <v>1066</v>
      </c>
      <c r="K3061" s="618"/>
      <c r="L3061" s="619">
        <v>90</v>
      </c>
      <c r="M3061" s="620">
        <v>85</v>
      </c>
      <c r="N3061" s="619"/>
      <c r="O3061" s="619">
        <v>23</v>
      </c>
      <c r="P3061" s="619" t="s">
        <v>760</v>
      </c>
      <c r="Q3061" s="662"/>
      <c r="R3061" s="618"/>
      <c r="S3061" s="621" t="s">
        <v>3987</v>
      </c>
      <c r="T3061" s="619" t="s">
        <v>1066</v>
      </c>
    </row>
    <row r="3062" spans="1:20">
      <c r="A3062" s="630">
        <v>2253300</v>
      </c>
      <c r="B3062" s="623"/>
      <c r="C3062" s="623"/>
      <c r="D3062" s="623" t="s">
        <v>799</v>
      </c>
      <c r="E3062" s="627" t="s">
        <v>23</v>
      </c>
      <c r="F3062" s="631" t="s">
        <v>4008</v>
      </c>
      <c r="G3062" s="661">
        <v>225</v>
      </c>
      <c r="H3062" s="633">
        <v>3300</v>
      </c>
      <c r="I3062" s="618"/>
      <c r="J3062" s="619" t="s">
        <v>23</v>
      </c>
      <c r="K3062" s="618"/>
      <c r="L3062" s="619">
        <v>91</v>
      </c>
      <c r="M3062" s="620">
        <v>86</v>
      </c>
      <c r="N3062" s="619"/>
      <c r="O3062" s="619">
        <v>23</v>
      </c>
      <c r="P3062" s="619" t="s">
        <v>760</v>
      </c>
      <c r="Q3062" s="662"/>
      <c r="R3062" s="618"/>
      <c r="S3062" s="621" t="s">
        <v>3987</v>
      </c>
      <c r="T3062" s="619" t="s">
        <v>23</v>
      </c>
    </row>
    <row r="3063" spans="1:20">
      <c r="A3063" s="622"/>
      <c r="B3063" s="623"/>
      <c r="C3063" s="623"/>
      <c r="D3063" s="623" t="s">
        <v>803</v>
      </c>
      <c r="E3063" s="627" t="s">
        <v>1069</v>
      </c>
      <c r="F3063" s="626"/>
      <c r="G3063" s="623"/>
      <c r="H3063" s="627"/>
      <c r="I3063" s="618"/>
      <c r="J3063" s="618"/>
      <c r="K3063" s="618"/>
      <c r="L3063" s="618"/>
      <c r="M3063" s="618"/>
      <c r="N3063" s="618"/>
      <c r="O3063" s="618"/>
      <c r="P3063" s="618"/>
      <c r="Q3063" s="662"/>
      <c r="R3063" s="618"/>
      <c r="S3063" s="621"/>
      <c r="T3063" s="618"/>
    </row>
    <row r="3064" spans="1:20">
      <c r="A3064" s="630">
        <v>2313300</v>
      </c>
      <c r="B3064" s="623"/>
      <c r="C3064" s="623"/>
      <c r="D3064" s="623"/>
      <c r="E3064" s="627" t="s">
        <v>1070</v>
      </c>
      <c r="F3064" s="631" t="s">
        <v>4009</v>
      </c>
      <c r="G3064" s="661">
        <v>231</v>
      </c>
      <c r="H3064" s="633">
        <v>3300</v>
      </c>
      <c r="I3064" s="618"/>
      <c r="J3064" s="619" t="s">
        <v>1070</v>
      </c>
      <c r="K3064" s="618"/>
      <c r="L3064" s="619">
        <v>92</v>
      </c>
      <c r="M3064" s="620">
        <v>87</v>
      </c>
      <c r="N3064" s="619"/>
      <c r="O3064" s="619">
        <v>23</v>
      </c>
      <c r="P3064" s="619" t="s">
        <v>760</v>
      </c>
      <c r="Q3064" s="662"/>
      <c r="R3064" s="618"/>
      <c r="S3064" s="621" t="s">
        <v>3987</v>
      </c>
      <c r="T3064" s="619" t="s">
        <v>1072</v>
      </c>
    </row>
    <row r="3065" spans="1:20">
      <c r="A3065" s="630">
        <v>2333300</v>
      </c>
      <c r="B3065" s="623"/>
      <c r="C3065" s="623"/>
      <c r="D3065" s="623"/>
      <c r="E3065" s="627" t="s">
        <v>1073</v>
      </c>
      <c r="F3065" s="631" t="s">
        <v>4010</v>
      </c>
      <c r="G3065" s="661">
        <v>233</v>
      </c>
      <c r="H3065" s="633">
        <v>3300</v>
      </c>
      <c r="I3065" s="618"/>
      <c r="J3065" s="619" t="s">
        <v>1073</v>
      </c>
      <c r="K3065" s="618"/>
      <c r="L3065" s="619">
        <v>92</v>
      </c>
      <c r="M3065" s="620">
        <v>87</v>
      </c>
      <c r="N3065" s="619"/>
      <c r="O3065" s="619">
        <v>23</v>
      </c>
      <c r="P3065" s="619" t="s">
        <v>760</v>
      </c>
      <c r="Q3065" s="662"/>
      <c r="R3065" s="618"/>
      <c r="S3065" s="621" t="s">
        <v>3987</v>
      </c>
      <c r="T3065" s="619" t="s">
        <v>1075</v>
      </c>
    </row>
    <row r="3066" spans="1:20">
      <c r="A3066" s="630">
        <v>2393300</v>
      </c>
      <c r="B3066" s="623"/>
      <c r="C3066" s="623"/>
      <c r="D3066" s="623"/>
      <c r="E3066" s="627" t="s">
        <v>1078</v>
      </c>
      <c r="F3066" s="631" t="s">
        <v>4011</v>
      </c>
      <c r="G3066" s="661">
        <v>239</v>
      </c>
      <c r="H3066" s="633">
        <v>3300</v>
      </c>
      <c r="I3066" s="618"/>
      <c r="J3066" s="619" t="s">
        <v>1078</v>
      </c>
      <c r="K3066" s="618"/>
      <c r="L3066" s="619">
        <v>92</v>
      </c>
      <c r="M3066" s="620">
        <v>87</v>
      </c>
      <c r="N3066" s="619"/>
      <c r="O3066" s="619">
        <v>23</v>
      </c>
      <c r="P3066" s="619" t="s">
        <v>760</v>
      </c>
      <c r="Q3066" s="662"/>
      <c r="R3066" s="618"/>
      <c r="S3066" s="621" t="s">
        <v>3987</v>
      </c>
      <c r="T3066" s="619" t="s">
        <v>1078</v>
      </c>
    </row>
    <row r="3067" spans="1:20">
      <c r="A3067" s="630">
        <v>2503300</v>
      </c>
      <c r="B3067" s="623"/>
      <c r="C3067" s="623"/>
      <c r="D3067" s="623" t="s">
        <v>848</v>
      </c>
      <c r="E3067" s="627" t="s">
        <v>1079</v>
      </c>
      <c r="F3067" s="631" t="s">
        <v>4012</v>
      </c>
      <c r="G3067" s="661">
        <v>250</v>
      </c>
      <c r="H3067" s="633">
        <v>3300</v>
      </c>
      <c r="I3067" s="618"/>
      <c r="J3067" s="619" t="s">
        <v>1079</v>
      </c>
      <c r="K3067" s="618"/>
      <c r="L3067" s="619">
        <v>93</v>
      </c>
      <c r="M3067" s="620">
        <v>88</v>
      </c>
      <c r="N3067" s="619"/>
      <c r="O3067" s="619">
        <v>23</v>
      </c>
      <c r="P3067" s="619" t="s">
        <v>760</v>
      </c>
      <c r="Q3067" s="662"/>
      <c r="R3067" s="618"/>
      <c r="S3067" s="621" t="s">
        <v>3987</v>
      </c>
      <c r="T3067" s="619" t="s">
        <v>1079</v>
      </c>
    </row>
    <row r="3068" spans="1:20">
      <c r="A3068" s="630">
        <v>2603300</v>
      </c>
      <c r="B3068" s="623"/>
      <c r="C3068" s="623"/>
      <c r="D3068" s="623" t="s">
        <v>851</v>
      </c>
      <c r="E3068" s="627" t="s">
        <v>1081</v>
      </c>
      <c r="F3068" s="631" t="s">
        <v>4013</v>
      </c>
      <c r="G3068" s="661">
        <v>260</v>
      </c>
      <c r="H3068" s="633">
        <v>3300</v>
      </c>
      <c r="I3068" s="618"/>
      <c r="J3068" s="619" t="s">
        <v>1081</v>
      </c>
      <c r="K3068" s="618"/>
      <c r="L3068" s="619">
        <v>95</v>
      </c>
      <c r="M3068" s="620">
        <v>90</v>
      </c>
      <c r="N3068" s="619"/>
      <c r="O3068" s="619">
        <v>23</v>
      </c>
      <c r="P3068" s="619" t="s">
        <v>760</v>
      </c>
      <c r="Q3068" s="662"/>
      <c r="R3068" s="618"/>
      <c r="S3068" s="621" t="s">
        <v>3987</v>
      </c>
      <c r="T3068" s="619" t="s">
        <v>1081</v>
      </c>
    </row>
    <row r="3069" spans="1:20">
      <c r="A3069" s="630">
        <v>2703300</v>
      </c>
      <c r="B3069" s="623"/>
      <c r="C3069" s="623"/>
      <c r="D3069" s="623" t="s">
        <v>854</v>
      </c>
      <c r="E3069" s="627" t="s">
        <v>1083</v>
      </c>
      <c r="F3069" s="631" t="s">
        <v>4014</v>
      </c>
      <c r="G3069" s="661">
        <v>270</v>
      </c>
      <c r="H3069" s="633">
        <v>3300</v>
      </c>
      <c r="I3069" s="618"/>
      <c r="J3069" s="619" t="s">
        <v>1083</v>
      </c>
      <c r="K3069" s="618"/>
      <c r="L3069" s="619">
        <v>94</v>
      </c>
      <c r="M3069" s="620">
        <v>89</v>
      </c>
      <c r="N3069" s="619"/>
      <c r="O3069" s="619">
        <v>23</v>
      </c>
      <c r="P3069" s="619" t="s">
        <v>760</v>
      </c>
      <c r="Q3069" s="662"/>
      <c r="R3069" s="618"/>
      <c r="S3069" s="621" t="s">
        <v>3987</v>
      </c>
      <c r="T3069" s="619" t="s">
        <v>1083</v>
      </c>
    </row>
    <row r="3070" spans="1:20">
      <c r="A3070" s="630">
        <v>2813300</v>
      </c>
      <c r="B3070" s="623"/>
      <c r="C3070" s="623"/>
      <c r="D3070" s="623" t="s">
        <v>857</v>
      </c>
      <c r="E3070" s="627" t="s">
        <v>1085</v>
      </c>
      <c r="F3070" s="631" t="s">
        <v>4015</v>
      </c>
      <c r="G3070" s="661">
        <v>281</v>
      </c>
      <c r="H3070" s="633">
        <v>3300</v>
      </c>
      <c r="I3070" s="618"/>
      <c r="J3070" s="619" t="s">
        <v>1085</v>
      </c>
      <c r="K3070" s="618"/>
      <c r="L3070" s="619">
        <v>95</v>
      </c>
      <c r="M3070" s="620">
        <v>90</v>
      </c>
      <c r="N3070" s="619"/>
      <c r="O3070" s="619">
        <v>23</v>
      </c>
      <c r="P3070" s="619" t="s">
        <v>760</v>
      </c>
      <c r="Q3070" s="662"/>
      <c r="R3070" s="618"/>
      <c r="S3070" s="621" t="s">
        <v>3987</v>
      </c>
      <c r="T3070" s="619" t="s">
        <v>1085</v>
      </c>
    </row>
    <row r="3071" spans="1:20">
      <c r="A3071" s="630">
        <v>2823300</v>
      </c>
      <c r="B3071" s="623"/>
      <c r="C3071" s="623"/>
      <c r="D3071" s="623" t="s">
        <v>860</v>
      </c>
      <c r="E3071" s="627" t="s">
        <v>1087</v>
      </c>
      <c r="F3071" s="631" t="s">
        <v>4016</v>
      </c>
      <c r="G3071" s="661">
        <v>282</v>
      </c>
      <c r="H3071" s="633">
        <v>3300</v>
      </c>
      <c r="I3071" s="618"/>
      <c r="J3071" s="619" t="s">
        <v>1087</v>
      </c>
      <c r="K3071" s="618"/>
      <c r="L3071" s="619">
        <v>95</v>
      </c>
      <c r="M3071" s="620">
        <v>90</v>
      </c>
      <c r="N3071" s="619"/>
      <c r="O3071" s="619">
        <v>23</v>
      </c>
      <c r="P3071" s="619" t="s">
        <v>760</v>
      </c>
      <c r="Q3071" s="662"/>
      <c r="R3071" s="618"/>
      <c r="S3071" s="621" t="s">
        <v>3987</v>
      </c>
      <c r="T3071" s="619" t="s">
        <v>1087</v>
      </c>
    </row>
    <row r="3072" spans="1:20" ht="16" thickBot="1">
      <c r="A3072" s="630">
        <v>2903300</v>
      </c>
      <c r="B3072" s="623"/>
      <c r="C3072" s="623"/>
      <c r="D3072" s="623" t="s">
        <v>1089</v>
      </c>
      <c r="E3072" s="627" t="s">
        <v>1090</v>
      </c>
      <c r="F3072" s="631" t="s">
        <v>4017</v>
      </c>
      <c r="G3072" s="661">
        <v>290</v>
      </c>
      <c r="H3072" s="633">
        <v>3300</v>
      </c>
      <c r="I3072" s="618"/>
      <c r="J3072" s="619" t="s">
        <v>1090</v>
      </c>
      <c r="K3072" s="618"/>
      <c r="L3072" s="619">
        <v>95</v>
      </c>
      <c r="M3072" s="620">
        <v>90</v>
      </c>
      <c r="N3072" s="619"/>
      <c r="O3072" s="619">
        <v>23</v>
      </c>
      <c r="P3072" s="619" t="s">
        <v>760</v>
      </c>
      <c r="Q3072" s="662"/>
      <c r="R3072" s="618"/>
      <c r="S3072" s="621" t="s">
        <v>3987</v>
      </c>
      <c r="T3072" s="619" t="s">
        <v>1090</v>
      </c>
    </row>
    <row r="3073" spans="1:20" ht="16.5" thickTop="1" thickBot="1">
      <c r="A3073" s="622"/>
      <c r="B3073" s="657"/>
      <c r="C3073" s="772" t="s">
        <v>4018</v>
      </c>
      <c r="D3073" s="773"/>
      <c r="E3073" s="782"/>
      <c r="F3073" s="656" t="s">
        <v>619</v>
      </c>
      <c r="G3073" s="657"/>
      <c r="H3073" s="658"/>
      <c r="I3073" s="618"/>
      <c r="J3073" s="618"/>
      <c r="K3073" s="618"/>
      <c r="L3073" s="618"/>
      <c r="M3073" s="618"/>
      <c r="N3073" s="618"/>
      <c r="O3073" s="618"/>
      <c r="P3073" s="618"/>
      <c r="Q3073" s="662"/>
      <c r="R3073" s="618"/>
      <c r="S3073" s="621"/>
      <c r="T3073" s="618"/>
    </row>
    <row r="3074" spans="1:20" ht="16.5" thickTop="1" thickBot="1">
      <c r="A3074" s="622"/>
      <c r="B3074" s="788" t="s">
        <v>4019</v>
      </c>
      <c r="C3074" s="789"/>
      <c r="D3074" s="789"/>
      <c r="E3074" s="777"/>
      <c r="F3074" s="660" t="s">
        <v>700</v>
      </c>
      <c r="G3074" s="613"/>
      <c r="H3074" s="614"/>
      <c r="I3074" s="618"/>
      <c r="J3074" s="618"/>
      <c r="K3074" s="618"/>
      <c r="L3074" s="618"/>
      <c r="M3074" s="618"/>
      <c r="N3074" s="618"/>
      <c r="O3074" s="618"/>
      <c r="P3074" s="618"/>
      <c r="Q3074" s="662"/>
      <c r="R3074" s="618"/>
      <c r="S3074" s="621"/>
      <c r="T3074" s="618"/>
    </row>
    <row r="3075" spans="1:20" ht="16" thickTop="1">
      <c r="A3075" s="622"/>
      <c r="B3075" s="623"/>
      <c r="C3075" s="623"/>
      <c r="D3075" s="623"/>
      <c r="E3075" s="627"/>
      <c r="F3075" s="626"/>
      <c r="G3075" s="623"/>
      <c r="H3075" s="627"/>
      <c r="I3075" s="618"/>
      <c r="J3075" s="618"/>
      <c r="K3075" s="618"/>
      <c r="L3075" s="618"/>
      <c r="M3075" s="618"/>
      <c r="N3075" s="618"/>
      <c r="O3075" s="618"/>
      <c r="P3075" s="618"/>
      <c r="Q3075" s="662"/>
      <c r="R3075" s="618"/>
      <c r="S3075" s="621"/>
      <c r="T3075" s="618"/>
    </row>
    <row r="3076" spans="1:20">
      <c r="A3076" s="622"/>
      <c r="B3076" s="628" t="s">
        <v>4020</v>
      </c>
      <c r="C3076" s="790" t="s">
        <v>4021</v>
      </c>
      <c r="D3076" s="771"/>
      <c r="E3076" s="775"/>
      <c r="F3076" s="626"/>
      <c r="G3076" s="623"/>
      <c r="H3076" s="627"/>
      <c r="I3076" s="618"/>
      <c r="J3076" s="618"/>
      <c r="K3076" s="618"/>
      <c r="L3076" s="618"/>
      <c r="M3076" s="618"/>
      <c r="N3076" s="618"/>
      <c r="O3076" s="618"/>
      <c r="P3076" s="618"/>
      <c r="Q3076" s="662"/>
      <c r="R3076" s="618"/>
      <c r="S3076" s="621"/>
      <c r="T3076" s="618"/>
    </row>
    <row r="3077" spans="1:20">
      <c r="A3077" s="622"/>
      <c r="B3077" s="628"/>
      <c r="C3077" s="628"/>
      <c r="D3077" s="770" t="s">
        <v>4022</v>
      </c>
      <c r="E3077" s="775"/>
      <c r="F3077" s="626"/>
      <c r="G3077" s="623"/>
      <c r="H3077" s="627"/>
      <c r="I3077" s="618"/>
      <c r="J3077" s="618"/>
      <c r="K3077" s="618"/>
      <c r="L3077" s="618"/>
      <c r="M3077" s="618"/>
      <c r="N3077" s="618"/>
      <c r="O3077" s="618"/>
      <c r="P3077" s="618"/>
      <c r="Q3077" s="662"/>
      <c r="R3077" s="618"/>
      <c r="S3077" s="621"/>
      <c r="T3077" s="618"/>
    </row>
    <row r="3078" spans="1:20">
      <c r="A3078" s="622"/>
      <c r="B3078" s="623"/>
      <c r="C3078" s="629">
        <v>114</v>
      </c>
      <c r="D3078" s="774" t="s">
        <v>244</v>
      </c>
      <c r="E3078" s="775"/>
      <c r="F3078" s="626"/>
      <c r="G3078" s="623"/>
      <c r="H3078" s="627"/>
      <c r="I3078" s="618"/>
      <c r="J3078" s="618"/>
      <c r="K3078" s="618"/>
      <c r="L3078" s="618"/>
      <c r="M3078" s="618"/>
      <c r="N3078" s="618"/>
      <c r="O3078" s="618"/>
      <c r="P3078" s="618"/>
      <c r="Q3078" s="662"/>
      <c r="R3078" s="618"/>
      <c r="S3078" s="621"/>
      <c r="T3078" s="618"/>
    </row>
    <row r="3079" spans="1:20">
      <c r="A3079" s="630">
        <v>1114500</v>
      </c>
      <c r="B3079" s="623"/>
      <c r="C3079" s="623"/>
      <c r="D3079" s="623" t="s">
        <v>756</v>
      </c>
      <c r="E3079" s="627" t="s">
        <v>3952</v>
      </c>
      <c r="F3079" s="631" t="s">
        <v>4023</v>
      </c>
      <c r="G3079" s="661">
        <v>111</v>
      </c>
      <c r="H3079" s="633">
        <v>4500</v>
      </c>
      <c r="I3079" s="618"/>
      <c r="J3079" s="619" t="s">
        <v>3952</v>
      </c>
      <c r="K3079" s="618"/>
      <c r="L3079" s="619">
        <v>81</v>
      </c>
      <c r="M3079" s="620">
        <v>76</v>
      </c>
      <c r="N3079" s="619"/>
      <c r="O3079" s="619">
        <v>24</v>
      </c>
      <c r="P3079" s="619" t="s">
        <v>760</v>
      </c>
      <c r="Q3079" s="662"/>
      <c r="R3079" s="618"/>
      <c r="S3079" s="621" t="s">
        <v>4024</v>
      </c>
      <c r="T3079" s="619" t="s">
        <v>3952</v>
      </c>
    </row>
    <row r="3080" spans="1:20">
      <c r="A3080" s="630">
        <v>1144500</v>
      </c>
      <c r="B3080" s="623"/>
      <c r="C3080" s="623"/>
      <c r="D3080" s="623" t="s">
        <v>775</v>
      </c>
      <c r="E3080" s="627" t="s">
        <v>1853</v>
      </c>
      <c r="F3080" s="631" t="s">
        <v>4025</v>
      </c>
      <c r="G3080" s="661">
        <v>114</v>
      </c>
      <c r="H3080" s="633">
        <v>4500</v>
      </c>
      <c r="I3080" s="618"/>
      <c r="J3080" s="619" t="s">
        <v>1853</v>
      </c>
      <c r="K3080" s="618"/>
      <c r="L3080" s="619">
        <v>84</v>
      </c>
      <c r="M3080" s="620">
        <v>79</v>
      </c>
      <c r="N3080" s="619"/>
      <c r="O3080" s="619">
        <v>24</v>
      </c>
      <c r="P3080" s="619" t="s">
        <v>760</v>
      </c>
      <c r="Q3080" s="662"/>
      <c r="R3080" s="618"/>
      <c r="S3080" s="621" t="s">
        <v>4024</v>
      </c>
      <c r="T3080" s="619" t="s">
        <v>1853</v>
      </c>
    </row>
    <row r="3081" spans="1:20">
      <c r="A3081" s="630">
        <v>1104500</v>
      </c>
      <c r="B3081" s="623"/>
      <c r="C3081" s="623"/>
      <c r="D3081" s="623" t="s">
        <v>799</v>
      </c>
      <c r="E3081" s="627" t="s">
        <v>3152</v>
      </c>
      <c r="F3081" s="631" t="s">
        <v>4026</v>
      </c>
      <c r="G3081" s="661">
        <v>110</v>
      </c>
      <c r="H3081" s="633">
        <v>4500</v>
      </c>
      <c r="I3081" s="618"/>
      <c r="J3081" s="619" t="s">
        <v>3152</v>
      </c>
      <c r="K3081" s="618"/>
      <c r="L3081" s="619">
        <v>86</v>
      </c>
      <c r="M3081" s="620">
        <v>81</v>
      </c>
      <c r="N3081" s="619"/>
      <c r="O3081" s="619">
        <v>24</v>
      </c>
      <c r="P3081" s="619" t="s">
        <v>760</v>
      </c>
      <c r="Q3081" s="662"/>
      <c r="R3081" s="618"/>
      <c r="S3081" s="621" t="s">
        <v>4024</v>
      </c>
      <c r="T3081" s="619" t="s">
        <v>3152</v>
      </c>
    </row>
    <row r="3082" spans="1:20">
      <c r="A3082" s="630">
        <v>1104700</v>
      </c>
      <c r="B3082" s="623"/>
      <c r="C3082" s="623"/>
      <c r="D3082" s="623" t="s">
        <v>803</v>
      </c>
      <c r="E3082" s="627" t="s">
        <v>4027</v>
      </c>
      <c r="F3082" s="631" t="s">
        <v>4028</v>
      </c>
      <c r="G3082" s="661">
        <v>110</v>
      </c>
      <c r="H3082" s="633">
        <v>4700</v>
      </c>
      <c r="I3082" s="618"/>
      <c r="J3082" s="619" t="s">
        <v>4027</v>
      </c>
      <c r="K3082" s="618"/>
      <c r="L3082" s="619">
        <v>86</v>
      </c>
      <c r="M3082" s="620">
        <v>81</v>
      </c>
      <c r="N3082" s="619"/>
      <c r="O3082" s="619">
        <v>24</v>
      </c>
      <c r="P3082" s="619" t="s">
        <v>760</v>
      </c>
      <c r="Q3082" s="662"/>
      <c r="R3082" s="618"/>
      <c r="S3082" s="621" t="s">
        <v>4024</v>
      </c>
      <c r="T3082" s="619" t="s">
        <v>4027</v>
      </c>
    </row>
    <row r="3083" spans="1:20">
      <c r="A3083" s="630">
        <v>1204500</v>
      </c>
      <c r="B3083" s="623"/>
      <c r="C3083" s="623"/>
      <c r="D3083" s="623" t="s">
        <v>848</v>
      </c>
      <c r="E3083" s="627" t="s">
        <v>4029</v>
      </c>
      <c r="F3083" s="631" t="s">
        <v>4030</v>
      </c>
      <c r="G3083" s="661">
        <v>120</v>
      </c>
      <c r="H3083" s="633">
        <v>4500</v>
      </c>
      <c r="I3083" s="618"/>
      <c r="J3083" s="619" t="s">
        <v>4029</v>
      </c>
      <c r="K3083" s="618"/>
      <c r="L3083" s="619">
        <v>86</v>
      </c>
      <c r="M3083" s="620">
        <v>81</v>
      </c>
      <c r="N3083" s="619"/>
      <c r="O3083" s="619">
        <v>24</v>
      </c>
      <c r="P3083" s="619" t="s">
        <v>760</v>
      </c>
      <c r="Q3083" s="662"/>
      <c r="R3083" s="618"/>
      <c r="S3083" s="621" t="s">
        <v>4024</v>
      </c>
      <c r="T3083" s="619" t="s">
        <v>4029</v>
      </c>
    </row>
    <row r="3084" spans="1:20" ht="18">
      <c r="A3084" s="630">
        <v>1004900</v>
      </c>
      <c r="B3084" s="674"/>
      <c r="C3084" s="623"/>
      <c r="D3084" s="623" t="s">
        <v>851</v>
      </c>
      <c r="E3084" s="627" t="s">
        <v>4031</v>
      </c>
      <c r="F3084" s="631" t="s">
        <v>4032</v>
      </c>
      <c r="G3084" s="661">
        <v>100</v>
      </c>
      <c r="H3084" s="633">
        <v>4900</v>
      </c>
      <c r="I3084" s="618"/>
      <c r="J3084" s="619" t="s">
        <v>4031</v>
      </c>
      <c r="K3084" s="618"/>
      <c r="L3084" s="619">
        <v>86</v>
      </c>
      <c r="M3084" s="620">
        <v>81</v>
      </c>
      <c r="N3084" s="619"/>
      <c r="O3084" s="619">
        <v>24</v>
      </c>
      <c r="P3084" s="619" t="s">
        <v>760</v>
      </c>
      <c r="Q3084" s="662"/>
      <c r="R3084" s="618"/>
      <c r="S3084" s="621" t="s">
        <v>4024</v>
      </c>
      <c r="T3084" s="619" t="s">
        <v>4031</v>
      </c>
    </row>
    <row r="3085" spans="1:20" ht="18">
      <c r="A3085" s="622"/>
      <c r="B3085" s="674"/>
      <c r="C3085" s="629">
        <v>115</v>
      </c>
      <c r="D3085" s="774" t="s">
        <v>1112</v>
      </c>
      <c r="E3085" s="775"/>
      <c r="F3085" s="626"/>
      <c r="G3085" s="623"/>
      <c r="H3085" s="627"/>
      <c r="I3085" s="618"/>
      <c r="J3085" s="618"/>
      <c r="K3085" s="618"/>
      <c r="L3085" s="618"/>
      <c r="M3085" s="618"/>
      <c r="N3085" s="618"/>
      <c r="O3085" s="618"/>
      <c r="P3085" s="618"/>
      <c r="Q3085" s="662"/>
      <c r="R3085" s="618"/>
      <c r="S3085" s="621"/>
      <c r="T3085" s="618"/>
    </row>
    <row r="3086" spans="1:20">
      <c r="A3086" s="630">
        <v>3324500</v>
      </c>
      <c r="B3086" s="623"/>
      <c r="C3086" s="623"/>
      <c r="D3086" s="623" t="s">
        <v>756</v>
      </c>
      <c r="E3086" s="627" t="s">
        <v>12</v>
      </c>
      <c r="F3086" s="631" t="s">
        <v>4033</v>
      </c>
      <c r="G3086" s="661">
        <v>332</v>
      </c>
      <c r="H3086" s="633">
        <v>4500</v>
      </c>
      <c r="I3086" s="618"/>
      <c r="J3086" s="619" t="s">
        <v>12</v>
      </c>
      <c r="K3086" s="618"/>
      <c r="L3086" s="619">
        <v>98</v>
      </c>
      <c r="M3086" s="620">
        <v>93</v>
      </c>
      <c r="N3086" s="619"/>
      <c r="O3086" s="619">
        <v>24</v>
      </c>
      <c r="P3086" s="619" t="s">
        <v>760</v>
      </c>
      <c r="Q3086" s="662"/>
      <c r="R3086" s="618"/>
      <c r="S3086" s="621" t="s">
        <v>4024</v>
      </c>
      <c r="T3086" s="619" t="s">
        <v>12</v>
      </c>
    </row>
    <row r="3087" spans="1:20">
      <c r="A3087" s="630">
        <v>3344300</v>
      </c>
      <c r="B3087" s="623"/>
      <c r="C3087" s="623"/>
      <c r="D3087" s="623" t="s">
        <v>775</v>
      </c>
      <c r="E3087" s="627" t="s">
        <v>4034</v>
      </c>
      <c r="F3087" s="631" t="s">
        <v>4035</v>
      </c>
      <c r="G3087" s="661">
        <v>334</v>
      </c>
      <c r="H3087" s="633">
        <v>4300</v>
      </c>
      <c r="I3087" s="618"/>
      <c r="J3087" s="619" t="s">
        <v>4034</v>
      </c>
      <c r="K3087" s="618"/>
      <c r="L3087" s="619">
        <v>101</v>
      </c>
      <c r="M3087" s="620">
        <v>96</v>
      </c>
      <c r="N3087" s="619"/>
      <c r="O3087" s="619">
        <v>24</v>
      </c>
      <c r="P3087" s="619" t="s">
        <v>760</v>
      </c>
      <c r="Q3087" s="662"/>
      <c r="R3087" s="618"/>
      <c r="S3087" s="621" t="s">
        <v>4024</v>
      </c>
      <c r="T3087" s="619" t="s">
        <v>4034</v>
      </c>
    </row>
    <row r="3088" spans="1:20">
      <c r="A3088" s="622"/>
      <c r="B3088" s="623"/>
      <c r="C3088" s="623"/>
      <c r="D3088" s="623" t="s">
        <v>799</v>
      </c>
      <c r="E3088" s="627" t="s">
        <v>3869</v>
      </c>
      <c r="F3088" s="626"/>
      <c r="G3088" s="623"/>
      <c r="H3088" s="627"/>
      <c r="I3088" s="618"/>
      <c r="J3088" s="618"/>
      <c r="K3088" s="618"/>
      <c r="L3088" s="618"/>
      <c r="M3088" s="618"/>
      <c r="N3088" s="618"/>
      <c r="O3088" s="618"/>
      <c r="P3088" s="618"/>
      <c r="Q3088" s="662"/>
      <c r="R3088" s="618"/>
      <c r="S3088" s="621"/>
      <c r="T3088" s="618"/>
    </row>
    <row r="3089" spans="1:20">
      <c r="A3089" s="630">
        <v>3004700</v>
      </c>
      <c r="B3089" s="623"/>
      <c r="C3089" s="623"/>
      <c r="D3089" s="623"/>
      <c r="E3089" s="627" t="s">
        <v>4036</v>
      </c>
      <c r="F3089" s="631" t="s">
        <v>4037</v>
      </c>
      <c r="G3089" s="661">
        <v>300</v>
      </c>
      <c r="H3089" s="633">
        <v>4700</v>
      </c>
      <c r="I3089" s="618"/>
      <c r="J3089" s="619" t="s">
        <v>4036</v>
      </c>
      <c r="K3089" s="618"/>
      <c r="L3089" s="619">
        <v>101</v>
      </c>
      <c r="M3089" s="620">
        <v>96</v>
      </c>
      <c r="N3089" s="619"/>
      <c r="O3089" s="619">
        <v>24</v>
      </c>
      <c r="P3089" s="619" t="s">
        <v>760</v>
      </c>
      <c r="Q3089" s="662"/>
      <c r="R3089" s="618"/>
      <c r="S3089" s="621" t="s">
        <v>4024</v>
      </c>
      <c r="T3089" s="619" t="s">
        <v>4038</v>
      </c>
    </row>
    <row r="3090" spans="1:20">
      <c r="A3090" s="630">
        <v>3004900</v>
      </c>
      <c r="B3090" s="623"/>
      <c r="C3090" s="623"/>
      <c r="D3090" s="623"/>
      <c r="E3090" s="627" t="s">
        <v>4039</v>
      </c>
      <c r="F3090" s="631" t="s">
        <v>4040</v>
      </c>
      <c r="G3090" s="661">
        <v>300</v>
      </c>
      <c r="H3090" s="633">
        <v>4900</v>
      </c>
      <c r="I3090" s="618"/>
      <c r="J3090" s="619" t="s">
        <v>4039</v>
      </c>
      <c r="K3090" s="618"/>
      <c r="L3090" s="619">
        <v>101</v>
      </c>
      <c r="M3090" s="620">
        <v>96</v>
      </c>
      <c r="N3090" s="619"/>
      <c r="O3090" s="619">
        <v>24</v>
      </c>
      <c r="P3090" s="619" t="s">
        <v>760</v>
      </c>
      <c r="Q3090" s="662"/>
      <c r="R3090" s="618"/>
      <c r="S3090" s="621" t="s">
        <v>4024</v>
      </c>
      <c r="T3090" s="619" t="s">
        <v>4041</v>
      </c>
    </row>
    <row r="3091" spans="1:20">
      <c r="A3091" s="622"/>
      <c r="B3091" s="623"/>
      <c r="C3091" s="629">
        <v>116</v>
      </c>
      <c r="D3091" s="774" t="s">
        <v>250</v>
      </c>
      <c r="E3091" s="775"/>
      <c r="F3091" s="626"/>
      <c r="G3091" s="623"/>
      <c r="H3091" s="627"/>
      <c r="I3091" s="618"/>
      <c r="J3091" s="618"/>
      <c r="K3091" s="618"/>
      <c r="L3091" s="618"/>
      <c r="M3091" s="618"/>
      <c r="N3091" s="618"/>
      <c r="O3091" s="618"/>
      <c r="P3091" s="618"/>
      <c r="Q3091" s="662"/>
      <c r="R3091" s="618"/>
      <c r="S3091" s="621"/>
      <c r="T3091" s="618"/>
    </row>
    <row r="3092" spans="1:20">
      <c r="A3092" s="630">
        <v>4504600</v>
      </c>
      <c r="B3092" s="623"/>
      <c r="C3092" s="623"/>
      <c r="D3092" s="623" t="s">
        <v>756</v>
      </c>
      <c r="E3092" s="627" t="s">
        <v>4042</v>
      </c>
      <c r="F3092" s="631" t="s">
        <v>4043</v>
      </c>
      <c r="G3092" s="661">
        <v>450</v>
      </c>
      <c r="H3092" s="633">
        <v>4600</v>
      </c>
      <c r="I3092" s="618"/>
      <c r="J3092" s="619" t="s">
        <v>4042</v>
      </c>
      <c r="K3092" s="618"/>
      <c r="L3092" s="619">
        <v>108</v>
      </c>
      <c r="M3092" s="620">
        <v>103</v>
      </c>
      <c r="N3092" s="619"/>
      <c r="O3092" s="619">
        <v>24</v>
      </c>
      <c r="P3092" s="619" t="s">
        <v>760</v>
      </c>
      <c r="Q3092" s="662"/>
      <c r="R3092" s="618"/>
      <c r="S3092" s="621" t="s">
        <v>4024</v>
      </c>
      <c r="T3092" s="619" t="s">
        <v>4042</v>
      </c>
    </row>
    <row r="3093" spans="1:20">
      <c r="A3093" s="630">
        <v>4504500</v>
      </c>
      <c r="B3093" s="623"/>
      <c r="C3093" s="623"/>
      <c r="D3093" s="623" t="s">
        <v>775</v>
      </c>
      <c r="E3093" s="627" t="s">
        <v>4044</v>
      </c>
      <c r="F3093" s="631" t="s">
        <v>4045</v>
      </c>
      <c r="G3093" s="661">
        <v>450</v>
      </c>
      <c r="H3093" s="633">
        <v>4500</v>
      </c>
      <c r="I3093" s="618"/>
      <c r="J3093" s="619" t="s">
        <v>4044</v>
      </c>
      <c r="K3093" s="618"/>
      <c r="L3093" s="619">
        <v>108</v>
      </c>
      <c r="M3093" s="620">
        <v>103</v>
      </c>
      <c r="N3093" s="619"/>
      <c r="O3093" s="619">
        <v>24</v>
      </c>
      <c r="P3093" s="619" t="s">
        <v>760</v>
      </c>
      <c r="Q3093" s="662"/>
      <c r="R3093" s="618"/>
      <c r="S3093" s="621" t="s">
        <v>4024</v>
      </c>
      <c r="T3093" s="619" t="s">
        <v>4044</v>
      </c>
    </row>
    <row r="3094" spans="1:20">
      <c r="A3094" s="630">
        <v>4004900</v>
      </c>
      <c r="B3094" s="623"/>
      <c r="C3094" s="623"/>
      <c r="D3094" s="623" t="s">
        <v>799</v>
      </c>
      <c r="E3094" s="627" t="s">
        <v>1025</v>
      </c>
      <c r="F3094" s="631" t="s">
        <v>4046</v>
      </c>
      <c r="G3094" s="661">
        <v>400</v>
      </c>
      <c r="H3094" s="633">
        <v>4900</v>
      </c>
      <c r="I3094" s="618"/>
      <c r="J3094" s="619" t="s">
        <v>1025</v>
      </c>
      <c r="K3094" s="618"/>
      <c r="L3094" s="619">
        <v>108</v>
      </c>
      <c r="M3094" s="620">
        <v>103</v>
      </c>
      <c r="N3094" s="619"/>
      <c r="O3094" s="619">
        <v>24</v>
      </c>
      <c r="P3094" s="619" t="s">
        <v>760</v>
      </c>
      <c r="Q3094" s="662"/>
      <c r="R3094" s="618"/>
      <c r="S3094" s="621" t="s">
        <v>4024</v>
      </c>
      <c r="T3094" s="619" t="s">
        <v>1025</v>
      </c>
    </row>
    <row r="3095" spans="1:20">
      <c r="A3095" s="622"/>
      <c r="B3095" s="623"/>
      <c r="C3095" s="629">
        <v>117</v>
      </c>
      <c r="D3095" s="774" t="s">
        <v>4047</v>
      </c>
      <c r="E3095" s="775"/>
      <c r="F3095" s="626"/>
      <c r="G3095" s="623"/>
      <c r="H3095" s="627"/>
      <c r="I3095" s="618"/>
      <c r="J3095" s="618"/>
      <c r="K3095" s="618"/>
      <c r="L3095" s="618"/>
      <c r="M3095" s="618"/>
      <c r="N3095" s="618"/>
      <c r="O3095" s="618"/>
      <c r="P3095" s="618"/>
      <c r="Q3095" s="662"/>
      <c r="R3095" s="618"/>
      <c r="S3095" s="621"/>
      <c r="T3095" s="618"/>
    </row>
    <row r="3096" spans="1:20">
      <c r="A3096" s="630">
        <v>5824500</v>
      </c>
      <c r="B3096" s="623"/>
      <c r="C3096" s="623"/>
      <c r="D3096" s="623" t="s">
        <v>756</v>
      </c>
      <c r="E3096" s="627" t="s">
        <v>1037</v>
      </c>
      <c r="F3096" s="631" t="s">
        <v>4048</v>
      </c>
      <c r="G3096" s="661">
        <v>582</v>
      </c>
      <c r="H3096" s="633">
        <v>4500</v>
      </c>
      <c r="I3096" s="618"/>
      <c r="J3096" s="619" t="s">
        <v>1037</v>
      </c>
      <c r="K3096" s="618"/>
      <c r="L3096" s="619">
        <v>118</v>
      </c>
      <c r="M3096" s="620">
        <v>109</v>
      </c>
      <c r="N3096" s="619"/>
      <c r="O3096" s="619">
        <v>24</v>
      </c>
      <c r="P3096" s="619" t="s">
        <v>760</v>
      </c>
      <c r="Q3096" s="662"/>
      <c r="R3096" s="618"/>
      <c r="S3096" s="621" t="s">
        <v>4024</v>
      </c>
      <c r="T3096" s="619" t="s">
        <v>1037</v>
      </c>
    </row>
    <row r="3097" spans="1:20">
      <c r="A3097" s="630">
        <v>5004900</v>
      </c>
      <c r="B3097" s="623"/>
      <c r="C3097" s="623"/>
      <c r="D3097" s="623" t="s">
        <v>775</v>
      </c>
      <c r="E3097" s="627" t="s">
        <v>3914</v>
      </c>
      <c r="F3097" s="631" t="s">
        <v>4049</v>
      </c>
      <c r="G3097" s="661">
        <v>500</v>
      </c>
      <c r="H3097" s="633">
        <v>4900</v>
      </c>
      <c r="I3097" s="618"/>
      <c r="J3097" s="619" t="s">
        <v>3914</v>
      </c>
      <c r="K3097" s="618"/>
      <c r="L3097" s="619">
        <v>119</v>
      </c>
      <c r="M3097" s="620">
        <v>110</v>
      </c>
      <c r="N3097" s="619"/>
      <c r="O3097" s="619">
        <v>24</v>
      </c>
      <c r="P3097" s="619" t="s">
        <v>760</v>
      </c>
      <c r="Q3097" s="662"/>
      <c r="R3097" s="618"/>
      <c r="S3097" s="621" t="s">
        <v>4024</v>
      </c>
      <c r="T3097" s="619" t="s">
        <v>3914</v>
      </c>
    </row>
    <row r="3098" spans="1:20">
      <c r="A3098" s="622"/>
      <c r="B3098" s="623"/>
      <c r="C3098" s="629">
        <v>118</v>
      </c>
      <c r="D3098" s="774" t="s">
        <v>4050</v>
      </c>
      <c r="E3098" s="775"/>
      <c r="F3098" s="626"/>
      <c r="G3098" s="623"/>
      <c r="H3098" s="627"/>
      <c r="I3098" s="618"/>
      <c r="J3098" s="618"/>
      <c r="K3098" s="618"/>
      <c r="L3098" s="618"/>
      <c r="M3098" s="618"/>
      <c r="N3098" s="618"/>
      <c r="O3098" s="618"/>
      <c r="P3098" s="618"/>
      <c r="Q3098" s="662"/>
      <c r="R3098" s="618"/>
      <c r="S3098" s="621"/>
      <c r="T3098" s="618"/>
    </row>
    <row r="3099" spans="1:20">
      <c r="A3099" s="630">
        <v>6154900</v>
      </c>
      <c r="B3099" s="623"/>
      <c r="C3099" s="623"/>
      <c r="D3099" s="623" t="s">
        <v>756</v>
      </c>
      <c r="E3099" s="627" t="s">
        <v>1041</v>
      </c>
      <c r="F3099" s="631" t="s">
        <v>4051</v>
      </c>
      <c r="G3099" s="661">
        <v>615</v>
      </c>
      <c r="H3099" s="633">
        <v>4900</v>
      </c>
      <c r="I3099" s="618"/>
      <c r="J3099" s="619" t="s">
        <v>1041</v>
      </c>
      <c r="K3099" s="618"/>
      <c r="L3099" s="619">
        <v>126</v>
      </c>
      <c r="M3099" s="620">
        <v>117</v>
      </c>
      <c r="N3099" s="619"/>
      <c r="O3099" s="619">
        <v>24</v>
      </c>
      <c r="P3099" s="619" t="s">
        <v>760</v>
      </c>
      <c r="Q3099" s="662" t="s">
        <v>1043</v>
      </c>
      <c r="R3099" s="618"/>
      <c r="S3099" s="621" t="s">
        <v>4024</v>
      </c>
      <c r="T3099" s="619" t="s">
        <v>1041</v>
      </c>
    </row>
    <row r="3100" spans="1:20">
      <c r="A3100" s="630">
        <v>6104900</v>
      </c>
      <c r="B3100" s="623"/>
      <c r="C3100" s="623"/>
      <c r="D3100" s="623" t="s">
        <v>775</v>
      </c>
      <c r="E3100" s="627" t="s">
        <v>39</v>
      </c>
      <c r="F3100" s="631" t="s">
        <v>4052</v>
      </c>
      <c r="G3100" s="661">
        <v>610</v>
      </c>
      <c r="H3100" s="633">
        <v>4900</v>
      </c>
      <c r="I3100" s="618"/>
      <c r="J3100" s="619" t="s">
        <v>39</v>
      </c>
      <c r="K3100" s="618"/>
      <c r="L3100" s="619">
        <v>122</v>
      </c>
      <c r="M3100" s="620">
        <v>113</v>
      </c>
      <c r="N3100" s="619"/>
      <c r="O3100" s="619">
        <v>24</v>
      </c>
      <c r="P3100" s="619" t="s">
        <v>760</v>
      </c>
      <c r="Q3100" s="662" t="s">
        <v>1043</v>
      </c>
      <c r="R3100" s="618"/>
      <c r="S3100" s="621" t="s">
        <v>4024</v>
      </c>
      <c r="T3100" s="619" t="s">
        <v>39</v>
      </c>
    </row>
    <row r="3101" spans="1:20">
      <c r="A3101" s="630">
        <v>6004900</v>
      </c>
      <c r="B3101" s="623"/>
      <c r="C3101" s="623"/>
      <c r="D3101" s="623" t="s">
        <v>799</v>
      </c>
      <c r="E3101" s="627" t="s">
        <v>1048</v>
      </c>
      <c r="F3101" s="631" t="s">
        <v>4053</v>
      </c>
      <c r="G3101" s="661">
        <v>600</v>
      </c>
      <c r="H3101" s="633">
        <v>4900</v>
      </c>
      <c r="I3101" s="618"/>
      <c r="J3101" s="619" t="s">
        <v>1048</v>
      </c>
      <c r="K3101" s="618"/>
      <c r="L3101" s="619">
        <v>126</v>
      </c>
      <c r="M3101" s="620">
        <v>117</v>
      </c>
      <c r="N3101" s="619"/>
      <c r="O3101" s="619">
        <v>24</v>
      </c>
      <c r="P3101" s="619" t="s">
        <v>760</v>
      </c>
      <c r="Q3101" s="618"/>
      <c r="R3101" s="618"/>
      <c r="S3101" s="621" t="s">
        <v>4024</v>
      </c>
      <c r="T3101" s="619" t="s">
        <v>1048</v>
      </c>
    </row>
    <row r="3102" spans="1:20">
      <c r="A3102" s="622"/>
      <c r="B3102" s="623"/>
      <c r="C3102" s="629">
        <v>119</v>
      </c>
      <c r="D3102" s="774" t="s">
        <v>4054</v>
      </c>
      <c r="E3102" s="775"/>
      <c r="F3102" s="626"/>
      <c r="G3102" s="623"/>
      <c r="H3102" s="627"/>
      <c r="I3102" s="618"/>
      <c r="J3102" s="618"/>
      <c r="K3102" s="618"/>
      <c r="L3102" s="618"/>
      <c r="M3102" s="618"/>
      <c r="N3102" s="618"/>
      <c r="O3102" s="618"/>
      <c r="P3102" s="618"/>
      <c r="Q3102" s="618"/>
      <c r="R3102" s="618"/>
      <c r="S3102" s="621"/>
      <c r="T3102" s="618"/>
    </row>
    <row r="3103" spans="1:20">
      <c r="A3103" s="630">
        <v>7104100</v>
      </c>
      <c r="B3103" s="623"/>
      <c r="C3103" s="623"/>
      <c r="D3103" s="623" t="s">
        <v>756</v>
      </c>
      <c r="E3103" s="627" t="s">
        <v>4055</v>
      </c>
      <c r="F3103" s="631" t="s">
        <v>4056</v>
      </c>
      <c r="G3103" s="661">
        <v>710</v>
      </c>
      <c r="H3103" s="633">
        <v>4100</v>
      </c>
      <c r="I3103" s="618"/>
      <c r="J3103" s="619" t="s">
        <v>4055</v>
      </c>
      <c r="K3103" s="618"/>
      <c r="L3103" s="619">
        <v>129</v>
      </c>
      <c r="M3103" s="620">
        <v>120</v>
      </c>
      <c r="N3103" s="619"/>
      <c r="O3103" s="619">
        <v>24</v>
      </c>
      <c r="P3103" s="619" t="s">
        <v>760</v>
      </c>
      <c r="Q3103" s="618"/>
      <c r="R3103" s="618"/>
      <c r="S3103" s="621" t="s">
        <v>4024</v>
      </c>
      <c r="T3103" s="619" t="s">
        <v>4055</v>
      </c>
    </row>
    <row r="3104" spans="1:20">
      <c r="A3104" s="630">
        <v>7104200</v>
      </c>
      <c r="B3104" s="623"/>
      <c r="C3104" s="623"/>
      <c r="D3104" s="623" t="s">
        <v>775</v>
      </c>
      <c r="E3104" s="627" t="s">
        <v>4057</v>
      </c>
      <c r="F3104" s="631" t="s">
        <v>4058</v>
      </c>
      <c r="G3104" s="661">
        <v>710</v>
      </c>
      <c r="H3104" s="633">
        <v>4200</v>
      </c>
      <c r="I3104" s="618"/>
      <c r="J3104" s="619" t="s">
        <v>4057</v>
      </c>
      <c r="K3104" s="618"/>
      <c r="L3104" s="619">
        <v>129</v>
      </c>
      <c r="M3104" s="620">
        <v>120</v>
      </c>
      <c r="N3104" s="619"/>
      <c r="O3104" s="619">
        <v>24</v>
      </c>
      <c r="P3104" s="619" t="s">
        <v>760</v>
      </c>
      <c r="Q3104" s="618"/>
      <c r="R3104" s="618"/>
      <c r="S3104" s="621" t="s">
        <v>4024</v>
      </c>
      <c r="T3104" s="619" t="s">
        <v>4057</v>
      </c>
    </row>
    <row r="3105" spans="1:20">
      <c r="A3105" s="630">
        <v>7204500</v>
      </c>
      <c r="B3105" s="623"/>
      <c r="C3105" s="623"/>
      <c r="D3105" s="623" t="s">
        <v>799</v>
      </c>
      <c r="E3105" s="627" t="s">
        <v>4059</v>
      </c>
      <c r="F3105" s="631" t="s">
        <v>4060</v>
      </c>
      <c r="G3105" s="661">
        <v>720</v>
      </c>
      <c r="H3105" s="633">
        <v>4500</v>
      </c>
      <c r="I3105" s="618"/>
      <c r="J3105" s="619" t="s">
        <v>4059</v>
      </c>
      <c r="K3105" s="618"/>
      <c r="L3105" s="619">
        <v>130</v>
      </c>
      <c r="M3105" s="620">
        <v>121</v>
      </c>
      <c r="N3105" s="619"/>
      <c r="O3105" s="619">
        <v>24</v>
      </c>
      <c r="P3105" s="619" t="s">
        <v>760</v>
      </c>
      <c r="Q3105" s="618"/>
      <c r="R3105" s="618"/>
      <c r="S3105" s="621" t="s">
        <v>4024</v>
      </c>
      <c r="T3105" s="619" t="s">
        <v>4059</v>
      </c>
    </row>
    <row r="3106" spans="1:20">
      <c r="A3106" s="622"/>
      <c r="B3106" s="623"/>
      <c r="C3106" s="623"/>
      <c r="D3106" s="623" t="s">
        <v>803</v>
      </c>
      <c r="E3106" s="627" t="s">
        <v>3441</v>
      </c>
      <c r="F3106" s="626"/>
      <c r="G3106" s="623"/>
      <c r="H3106" s="627"/>
      <c r="I3106" s="618"/>
      <c r="J3106" s="618"/>
      <c r="K3106" s="618"/>
      <c r="L3106" s="618"/>
      <c r="M3106" s="618"/>
      <c r="N3106" s="618"/>
      <c r="O3106" s="618"/>
      <c r="P3106" s="618"/>
      <c r="Q3106" s="618"/>
      <c r="R3106" s="618"/>
      <c r="S3106" s="621"/>
      <c r="T3106" s="618"/>
    </row>
    <row r="3107" spans="1:20">
      <c r="A3107" s="630">
        <v>7344900</v>
      </c>
      <c r="B3107" s="623"/>
      <c r="C3107" s="623"/>
      <c r="D3107" s="623"/>
      <c r="E3107" s="627" t="s">
        <v>1146</v>
      </c>
      <c r="F3107" s="631" t="s">
        <v>4061</v>
      </c>
      <c r="G3107" s="661">
        <v>734</v>
      </c>
      <c r="H3107" s="633">
        <v>4900</v>
      </c>
      <c r="I3107" s="618"/>
      <c r="J3107" s="619" t="s">
        <v>1146</v>
      </c>
      <c r="K3107" s="618"/>
      <c r="L3107" s="619">
        <v>131</v>
      </c>
      <c r="M3107" s="620">
        <v>122</v>
      </c>
      <c r="N3107" s="619"/>
      <c r="O3107" s="619">
        <v>24</v>
      </c>
      <c r="P3107" s="619" t="s">
        <v>760</v>
      </c>
      <c r="Q3107" s="618"/>
      <c r="R3107" s="618"/>
      <c r="S3107" s="621" t="s">
        <v>4024</v>
      </c>
      <c r="T3107" s="619" t="s">
        <v>1051</v>
      </c>
    </row>
    <row r="3108" spans="1:20">
      <c r="A3108" s="630">
        <v>7354900</v>
      </c>
      <c r="B3108" s="623"/>
      <c r="C3108" s="623"/>
      <c r="D3108" s="623"/>
      <c r="E3108" s="627" t="s">
        <v>1148</v>
      </c>
      <c r="F3108" s="631" t="s">
        <v>4062</v>
      </c>
      <c r="G3108" s="661">
        <v>735</v>
      </c>
      <c r="H3108" s="633">
        <v>4900</v>
      </c>
      <c r="I3108" s="618"/>
      <c r="J3108" s="619" t="s">
        <v>1148</v>
      </c>
      <c r="K3108" s="618"/>
      <c r="L3108" s="619">
        <v>131</v>
      </c>
      <c r="M3108" s="620">
        <v>122</v>
      </c>
      <c r="N3108" s="619"/>
      <c r="O3108" s="619">
        <v>24</v>
      </c>
      <c r="P3108" s="619" t="s">
        <v>760</v>
      </c>
      <c r="Q3108" s="618"/>
      <c r="R3108" s="618"/>
      <c r="S3108" s="621" t="s">
        <v>4024</v>
      </c>
      <c r="T3108" s="619" t="s">
        <v>1053</v>
      </c>
    </row>
    <row r="3109" spans="1:20">
      <c r="A3109" s="630">
        <v>7304900</v>
      </c>
      <c r="B3109" s="623"/>
      <c r="C3109" s="623"/>
      <c r="D3109" s="623"/>
      <c r="E3109" s="627" t="s">
        <v>1150</v>
      </c>
      <c r="F3109" s="631" t="s">
        <v>4063</v>
      </c>
      <c r="G3109" s="661">
        <v>730</v>
      </c>
      <c r="H3109" s="633">
        <v>4900</v>
      </c>
      <c r="I3109" s="618"/>
      <c r="J3109" s="619" t="s">
        <v>1150</v>
      </c>
      <c r="K3109" s="618"/>
      <c r="L3109" s="619">
        <v>131</v>
      </c>
      <c r="M3109" s="620">
        <v>122</v>
      </c>
      <c r="N3109" s="619"/>
      <c r="O3109" s="619">
        <v>24</v>
      </c>
      <c r="P3109" s="619" t="s">
        <v>760</v>
      </c>
      <c r="Q3109" s="618"/>
      <c r="R3109" s="618"/>
      <c r="S3109" s="621" t="s">
        <v>4024</v>
      </c>
      <c r="T3109" s="619" t="s">
        <v>1055</v>
      </c>
    </row>
    <row r="3110" spans="1:20">
      <c r="A3110" s="630">
        <v>7604200</v>
      </c>
      <c r="B3110" s="623"/>
      <c r="C3110" s="623"/>
      <c r="D3110" s="623" t="s">
        <v>848</v>
      </c>
      <c r="E3110" s="627" t="s">
        <v>4064</v>
      </c>
      <c r="F3110" s="631" t="s">
        <v>4065</v>
      </c>
      <c r="G3110" s="661">
        <v>760</v>
      </c>
      <c r="H3110" s="633">
        <v>4200</v>
      </c>
      <c r="I3110" s="618"/>
      <c r="J3110" s="619" t="s">
        <v>4064</v>
      </c>
      <c r="K3110" s="618"/>
      <c r="L3110" s="619">
        <v>132</v>
      </c>
      <c r="M3110" s="620">
        <v>123</v>
      </c>
      <c r="N3110" s="619"/>
      <c r="O3110" s="619">
        <v>24</v>
      </c>
      <c r="P3110" s="619" t="s">
        <v>760</v>
      </c>
      <c r="Q3110" s="618"/>
      <c r="R3110" s="618"/>
      <c r="S3110" s="621" t="s">
        <v>4024</v>
      </c>
      <c r="T3110" s="619" t="s">
        <v>4064</v>
      </c>
    </row>
    <row r="3111" spans="1:20">
      <c r="A3111" s="630">
        <v>7004900</v>
      </c>
      <c r="B3111" s="623"/>
      <c r="C3111" s="623"/>
      <c r="D3111" s="623" t="s">
        <v>851</v>
      </c>
      <c r="E3111" s="627" t="s">
        <v>4066</v>
      </c>
      <c r="F3111" s="631" t="s">
        <v>4067</v>
      </c>
      <c r="G3111" s="661">
        <v>700</v>
      </c>
      <c r="H3111" s="633">
        <v>4900</v>
      </c>
      <c r="I3111" s="618"/>
      <c r="J3111" s="619" t="s">
        <v>4066</v>
      </c>
      <c r="K3111" s="618"/>
      <c r="L3111" s="619">
        <v>132</v>
      </c>
      <c r="M3111" s="620">
        <v>123</v>
      </c>
      <c r="N3111" s="619"/>
      <c r="O3111" s="619">
        <v>24</v>
      </c>
      <c r="P3111" s="619" t="s">
        <v>760</v>
      </c>
      <c r="Q3111" s="618"/>
      <c r="R3111" s="618"/>
      <c r="S3111" s="621" t="s">
        <v>4024</v>
      </c>
      <c r="T3111" s="619" t="s">
        <v>4066</v>
      </c>
    </row>
    <row r="3112" spans="1:20">
      <c r="A3112" s="622"/>
      <c r="B3112" s="623"/>
      <c r="C3112" s="629">
        <v>120</v>
      </c>
      <c r="D3112" s="774" t="s">
        <v>3070</v>
      </c>
      <c r="E3112" s="775"/>
      <c r="F3112" s="626"/>
      <c r="G3112" s="623"/>
      <c r="H3112" s="627"/>
      <c r="I3112" s="618"/>
      <c r="J3112" s="618"/>
      <c r="K3112" s="618"/>
      <c r="L3112" s="618"/>
      <c r="M3112" s="618"/>
      <c r="N3112" s="618"/>
      <c r="O3112" s="618"/>
      <c r="P3112" s="618"/>
      <c r="Q3112" s="618"/>
      <c r="R3112" s="618"/>
      <c r="S3112" s="621"/>
      <c r="T3112" s="618"/>
    </row>
    <row r="3113" spans="1:20">
      <c r="A3113" s="630">
        <v>8004700</v>
      </c>
      <c r="B3113" s="623"/>
      <c r="C3113" s="623"/>
      <c r="D3113" s="623" t="s">
        <v>756</v>
      </c>
      <c r="E3113" s="627" t="s">
        <v>4038</v>
      </c>
      <c r="F3113" s="631" t="s">
        <v>4068</v>
      </c>
      <c r="G3113" s="661">
        <v>800</v>
      </c>
      <c r="H3113" s="633">
        <v>4700</v>
      </c>
      <c r="I3113" s="618"/>
      <c r="J3113" s="619" t="s">
        <v>4038</v>
      </c>
      <c r="K3113" s="618"/>
      <c r="L3113" s="619">
        <v>139</v>
      </c>
      <c r="M3113" s="620">
        <v>129</v>
      </c>
      <c r="N3113" s="619"/>
      <c r="O3113" s="619">
        <v>24</v>
      </c>
      <c r="P3113" s="619" t="s">
        <v>760</v>
      </c>
      <c r="Q3113" s="618"/>
      <c r="R3113" s="618"/>
      <c r="S3113" s="621" t="s">
        <v>4024</v>
      </c>
      <c r="T3113" s="619" t="s">
        <v>4038</v>
      </c>
    </row>
    <row r="3114" spans="1:20">
      <c r="A3114" s="630">
        <v>8004500</v>
      </c>
      <c r="B3114" s="623"/>
      <c r="C3114" s="623"/>
      <c r="D3114" s="623" t="s">
        <v>775</v>
      </c>
      <c r="E3114" s="627" t="s">
        <v>4069</v>
      </c>
      <c r="F3114" s="631" t="s">
        <v>4070</v>
      </c>
      <c r="G3114" s="661">
        <v>800</v>
      </c>
      <c r="H3114" s="633">
        <v>4500</v>
      </c>
      <c r="I3114" s="618"/>
      <c r="J3114" s="619" t="s">
        <v>4069</v>
      </c>
      <c r="K3114" s="618"/>
      <c r="L3114" s="619">
        <v>139</v>
      </c>
      <c r="M3114" s="620">
        <v>129</v>
      </c>
      <c r="N3114" s="619"/>
      <c r="O3114" s="619">
        <v>24</v>
      </c>
      <c r="P3114" s="619" t="s">
        <v>760</v>
      </c>
      <c r="Q3114" s="618"/>
      <c r="R3114" s="618"/>
      <c r="S3114" s="621" t="s">
        <v>4024</v>
      </c>
      <c r="T3114" s="619" t="s">
        <v>4069</v>
      </c>
    </row>
    <row r="3115" spans="1:20">
      <c r="A3115" s="622"/>
      <c r="B3115" s="623"/>
      <c r="C3115" s="629">
        <v>121</v>
      </c>
      <c r="D3115" s="774" t="s">
        <v>1063</v>
      </c>
      <c r="E3115" s="775"/>
      <c r="F3115" s="626"/>
      <c r="G3115" s="623"/>
      <c r="H3115" s="627"/>
      <c r="I3115" s="618"/>
      <c r="J3115" s="618"/>
      <c r="K3115" s="618"/>
      <c r="L3115" s="618"/>
      <c r="M3115" s="618"/>
      <c r="N3115" s="618"/>
      <c r="O3115" s="618"/>
      <c r="P3115" s="618"/>
      <c r="Q3115" s="618"/>
      <c r="R3115" s="618"/>
      <c r="S3115" s="621"/>
      <c r="T3115" s="618"/>
    </row>
    <row r="3116" spans="1:20">
      <c r="A3116" s="630">
        <v>2104900</v>
      </c>
      <c r="B3116" s="623"/>
      <c r="C3116" s="623"/>
      <c r="D3116" s="623" t="s">
        <v>756</v>
      </c>
      <c r="E3116" s="627" t="s">
        <v>1064</v>
      </c>
      <c r="F3116" s="631" t="s">
        <v>4071</v>
      </c>
      <c r="G3116" s="661">
        <v>210</v>
      </c>
      <c r="H3116" s="633">
        <v>4900</v>
      </c>
      <c r="I3116" s="618"/>
      <c r="J3116" s="619" t="s">
        <v>1064</v>
      </c>
      <c r="K3116" s="618"/>
      <c r="L3116" s="619">
        <v>89</v>
      </c>
      <c r="M3116" s="620">
        <v>84</v>
      </c>
      <c r="N3116" s="619"/>
      <c r="O3116" s="619">
        <v>24</v>
      </c>
      <c r="P3116" s="619" t="s">
        <v>760</v>
      </c>
      <c r="Q3116" s="618"/>
      <c r="R3116" s="618"/>
      <c r="S3116" s="621" t="s">
        <v>4024</v>
      </c>
      <c r="T3116" s="619" t="s">
        <v>1064</v>
      </c>
    </row>
    <row r="3117" spans="1:20">
      <c r="A3117" s="630">
        <v>2204900</v>
      </c>
      <c r="B3117" s="623"/>
      <c r="C3117" s="623"/>
      <c r="D3117" s="623" t="s">
        <v>775</v>
      </c>
      <c r="E3117" s="627" t="s">
        <v>1066</v>
      </c>
      <c r="F3117" s="631" t="s">
        <v>4072</v>
      </c>
      <c r="G3117" s="661">
        <v>220</v>
      </c>
      <c r="H3117" s="633">
        <v>4900</v>
      </c>
      <c r="I3117" s="618"/>
      <c r="J3117" s="619" t="s">
        <v>1066</v>
      </c>
      <c r="K3117" s="618"/>
      <c r="L3117" s="619">
        <v>90</v>
      </c>
      <c r="M3117" s="620">
        <v>85</v>
      </c>
      <c r="N3117" s="619"/>
      <c r="O3117" s="619">
        <v>24</v>
      </c>
      <c r="P3117" s="619" t="s">
        <v>760</v>
      </c>
      <c r="Q3117" s="618"/>
      <c r="R3117" s="618"/>
      <c r="S3117" s="621" t="s">
        <v>4024</v>
      </c>
      <c r="T3117" s="619" t="s">
        <v>1066</v>
      </c>
    </row>
    <row r="3118" spans="1:20">
      <c r="A3118" s="630">
        <v>2254900</v>
      </c>
      <c r="B3118" s="623"/>
      <c r="C3118" s="623"/>
      <c r="D3118" s="623" t="s">
        <v>799</v>
      </c>
      <c r="E3118" s="627" t="s">
        <v>23</v>
      </c>
      <c r="F3118" s="631" t="s">
        <v>4073</v>
      </c>
      <c r="G3118" s="661">
        <v>225</v>
      </c>
      <c r="H3118" s="633">
        <v>4900</v>
      </c>
      <c r="I3118" s="618"/>
      <c r="J3118" s="619" t="s">
        <v>23</v>
      </c>
      <c r="K3118" s="618"/>
      <c r="L3118" s="619">
        <v>91</v>
      </c>
      <c r="M3118" s="620">
        <v>86</v>
      </c>
      <c r="N3118" s="619"/>
      <c r="O3118" s="619">
        <v>24</v>
      </c>
      <c r="P3118" s="619" t="s">
        <v>760</v>
      </c>
      <c r="Q3118" s="618"/>
      <c r="R3118" s="618"/>
      <c r="S3118" s="621" t="s">
        <v>4024</v>
      </c>
      <c r="T3118" s="619" t="s">
        <v>23</v>
      </c>
    </row>
    <row r="3119" spans="1:20">
      <c r="A3119" s="622"/>
      <c r="B3119" s="623"/>
      <c r="C3119" s="623"/>
      <c r="D3119" s="623" t="s">
        <v>803</v>
      </c>
      <c r="E3119" s="627" t="s">
        <v>1069</v>
      </c>
      <c r="F3119" s="626"/>
      <c r="G3119" s="623"/>
      <c r="H3119" s="627"/>
      <c r="I3119" s="618"/>
      <c r="J3119" s="618"/>
      <c r="K3119" s="618"/>
      <c r="L3119" s="618"/>
      <c r="M3119" s="618"/>
      <c r="N3119" s="618"/>
      <c r="O3119" s="618"/>
      <c r="P3119" s="618"/>
      <c r="Q3119" s="618"/>
      <c r="R3119" s="618"/>
      <c r="S3119" s="621"/>
      <c r="T3119" s="618"/>
    </row>
    <row r="3120" spans="1:20">
      <c r="A3120" s="630">
        <v>2314900</v>
      </c>
      <c r="B3120" s="623"/>
      <c r="C3120" s="623"/>
      <c r="D3120" s="623"/>
      <c r="E3120" s="627" t="s">
        <v>1070</v>
      </c>
      <c r="F3120" s="631" t="s">
        <v>4074</v>
      </c>
      <c r="G3120" s="661">
        <v>231</v>
      </c>
      <c r="H3120" s="633">
        <v>4900</v>
      </c>
      <c r="I3120" s="618"/>
      <c r="J3120" s="619" t="s">
        <v>1070</v>
      </c>
      <c r="K3120" s="618"/>
      <c r="L3120" s="619">
        <v>92</v>
      </c>
      <c r="M3120" s="620">
        <v>87</v>
      </c>
      <c r="N3120" s="619"/>
      <c r="O3120" s="619">
        <v>24</v>
      </c>
      <c r="P3120" s="619" t="s">
        <v>760</v>
      </c>
      <c r="Q3120" s="618"/>
      <c r="R3120" s="618"/>
      <c r="S3120" s="621" t="s">
        <v>4024</v>
      </c>
      <c r="T3120" s="619" t="s">
        <v>1072</v>
      </c>
    </row>
    <row r="3121" spans="1:20">
      <c r="A3121" s="630">
        <v>2334900</v>
      </c>
      <c r="B3121" s="623"/>
      <c r="C3121" s="623"/>
      <c r="D3121" s="623"/>
      <c r="E3121" s="627" t="s">
        <v>1073</v>
      </c>
      <c r="F3121" s="631" t="s">
        <v>4075</v>
      </c>
      <c r="G3121" s="661">
        <v>233</v>
      </c>
      <c r="H3121" s="633">
        <v>4900</v>
      </c>
      <c r="I3121" s="618"/>
      <c r="J3121" s="619" t="s">
        <v>1073</v>
      </c>
      <c r="K3121" s="618"/>
      <c r="L3121" s="619">
        <v>92</v>
      </c>
      <c r="M3121" s="620">
        <v>87</v>
      </c>
      <c r="N3121" s="619"/>
      <c r="O3121" s="619">
        <v>24</v>
      </c>
      <c r="P3121" s="619" t="s">
        <v>760</v>
      </c>
      <c r="Q3121" s="618"/>
      <c r="R3121" s="618"/>
      <c r="S3121" s="621" t="s">
        <v>4024</v>
      </c>
      <c r="T3121" s="619" t="s">
        <v>1075</v>
      </c>
    </row>
    <row r="3122" spans="1:20">
      <c r="A3122" s="630">
        <v>2394900</v>
      </c>
      <c r="B3122" s="623"/>
      <c r="C3122" s="623"/>
      <c r="D3122" s="623"/>
      <c r="E3122" s="627" t="s">
        <v>1076</v>
      </c>
      <c r="F3122" s="631" t="s">
        <v>4076</v>
      </c>
      <c r="G3122" s="661">
        <v>239</v>
      </c>
      <c r="H3122" s="633">
        <v>4900</v>
      </c>
      <c r="I3122" s="618"/>
      <c r="J3122" s="619" t="s">
        <v>1076</v>
      </c>
      <c r="K3122" s="618"/>
      <c r="L3122" s="619">
        <v>92</v>
      </c>
      <c r="M3122" s="620">
        <v>87</v>
      </c>
      <c r="N3122" s="619"/>
      <c r="O3122" s="619">
        <v>24</v>
      </c>
      <c r="P3122" s="619" t="s">
        <v>760</v>
      </c>
      <c r="Q3122" s="618"/>
      <c r="R3122" s="618"/>
      <c r="S3122" s="621" t="s">
        <v>4024</v>
      </c>
      <c r="T3122" s="619" t="s">
        <v>1078</v>
      </c>
    </row>
    <row r="3123" spans="1:20">
      <c r="A3123" s="630">
        <v>2504900</v>
      </c>
      <c r="B3123" s="623"/>
      <c r="C3123" s="623"/>
      <c r="D3123" s="623" t="s">
        <v>848</v>
      </c>
      <c r="E3123" s="627" t="s">
        <v>1079</v>
      </c>
      <c r="F3123" s="631" t="s">
        <v>4077</v>
      </c>
      <c r="G3123" s="661">
        <v>250</v>
      </c>
      <c r="H3123" s="633">
        <v>4900</v>
      </c>
      <c r="I3123" s="618"/>
      <c r="J3123" s="619" t="s">
        <v>1079</v>
      </c>
      <c r="K3123" s="618"/>
      <c r="L3123" s="619">
        <v>93</v>
      </c>
      <c r="M3123" s="620">
        <v>88</v>
      </c>
      <c r="N3123" s="619"/>
      <c r="O3123" s="619">
        <v>24</v>
      </c>
      <c r="P3123" s="619" t="s">
        <v>760</v>
      </c>
      <c r="Q3123" s="618"/>
      <c r="R3123" s="618"/>
      <c r="S3123" s="621" t="s">
        <v>4024</v>
      </c>
      <c r="T3123" s="619" t="s">
        <v>1079</v>
      </c>
    </row>
    <row r="3124" spans="1:20">
      <c r="A3124" s="630">
        <v>2604900</v>
      </c>
      <c r="B3124" s="623"/>
      <c r="C3124" s="623"/>
      <c r="D3124" s="623" t="s">
        <v>851</v>
      </c>
      <c r="E3124" s="627" t="s">
        <v>1081</v>
      </c>
      <c r="F3124" s="631" t="s">
        <v>4078</v>
      </c>
      <c r="G3124" s="661">
        <v>260</v>
      </c>
      <c r="H3124" s="633">
        <v>4900</v>
      </c>
      <c r="I3124" s="618"/>
      <c r="J3124" s="619" t="s">
        <v>1081</v>
      </c>
      <c r="K3124" s="618"/>
      <c r="L3124" s="619">
        <v>95</v>
      </c>
      <c r="M3124" s="620">
        <v>90</v>
      </c>
      <c r="N3124" s="619"/>
      <c r="O3124" s="619">
        <v>24</v>
      </c>
      <c r="P3124" s="619" t="s">
        <v>760</v>
      </c>
      <c r="Q3124" s="618"/>
      <c r="R3124" s="618"/>
      <c r="S3124" s="621" t="s">
        <v>4024</v>
      </c>
      <c r="T3124" s="619" t="s">
        <v>1081</v>
      </c>
    </row>
    <row r="3125" spans="1:20">
      <c r="A3125" s="630">
        <v>2704900</v>
      </c>
      <c r="B3125" s="623"/>
      <c r="C3125" s="623"/>
      <c r="D3125" s="623" t="s">
        <v>854</v>
      </c>
      <c r="E3125" s="627" t="s">
        <v>1083</v>
      </c>
      <c r="F3125" s="631" t="s">
        <v>4079</v>
      </c>
      <c r="G3125" s="661">
        <v>270</v>
      </c>
      <c r="H3125" s="633">
        <v>4900</v>
      </c>
      <c r="I3125" s="618"/>
      <c r="J3125" s="619" t="s">
        <v>1083</v>
      </c>
      <c r="K3125" s="618"/>
      <c r="L3125" s="619">
        <v>94</v>
      </c>
      <c r="M3125" s="620">
        <v>89</v>
      </c>
      <c r="N3125" s="619"/>
      <c r="O3125" s="619">
        <v>24</v>
      </c>
      <c r="P3125" s="619" t="s">
        <v>760</v>
      </c>
      <c r="Q3125" s="618"/>
      <c r="R3125" s="618"/>
      <c r="S3125" s="621" t="s">
        <v>4024</v>
      </c>
      <c r="T3125" s="619" t="s">
        <v>1083</v>
      </c>
    </row>
    <row r="3126" spans="1:20">
      <c r="A3126" s="630">
        <v>2814900</v>
      </c>
      <c r="B3126" s="623"/>
      <c r="C3126" s="623"/>
      <c r="D3126" s="623" t="s">
        <v>857</v>
      </c>
      <c r="E3126" s="627" t="s">
        <v>1085</v>
      </c>
      <c r="F3126" s="631" t="s">
        <v>4080</v>
      </c>
      <c r="G3126" s="661">
        <v>281</v>
      </c>
      <c r="H3126" s="633">
        <v>4900</v>
      </c>
      <c r="I3126" s="618"/>
      <c r="J3126" s="619" t="s">
        <v>1085</v>
      </c>
      <c r="K3126" s="618"/>
      <c r="L3126" s="619">
        <v>95</v>
      </c>
      <c r="M3126" s="620">
        <v>90</v>
      </c>
      <c r="N3126" s="619"/>
      <c r="O3126" s="619">
        <v>24</v>
      </c>
      <c r="P3126" s="619" t="s">
        <v>760</v>
      </c>
      <c r="Q3126" s="618"/>
      <c r="R3126" s="618"/>
      <c r="S3126" s="621" t="s">
        <v>4024</v>
      </c>
      <c r="T3126" s="619" t="s">
        <v>1085</v>
      </c>
    </row>
    <row r="3127" spans="1:20">
      <c r="A3127" s="630">
        <v>2824900</v>
      </c>
      <c r="B3127" s="623"/>
      <c r="C3127" s="623"/>
      <c r="D3127" s="623" t="s">
        <v>860</v>
      </c>
      <c r="E3127" s="627" t="s">
        <v>1087</v>
      </c>
      <c r="F3127" s="631" t="s">
        <v>4081</v>
      </c>
      <c r="G3127" s="661">
        <v>282</v>
      </c>
      <c r="H3127" s="633">
        <v>4900</v>
      </c>
      <c r="I3127" s="618"/>
      <c r="J3127" s="619" t="s">
        <v>1087</v>
      </c>
      <c r="K3127" s="618"/>
      <c r="L3127" s="619">
        <v>95</v>
      </c>
      <c r="M3127" s="620">
        <v>90</v>
      </c>
      <c r="N3127" s="619"/>
      <c r="O3127" s="619">
        <v>24</v>
      </c>
      <c r="P3127" s="619" t="s">
        <v>760</v>
      </c>
      <c r="Q3127" s="618"/>
      <c r="R3127" s="618"/>
      <c r="S3127" s="621" t="s">
        <v>4024</v>
      </c>
      <c r="T3127" s="619" t="s">
        <v>1087</v>
      </c>
    </row>
    <row r="3128" spans="1:20">
      <c r="A3128" s="630">
        <v>2904900</v>
      </c>
      <c r="B3128" s="623"/>
      <c r="C3128" s="623"/>
      <c r="D3128" s="623" t="s">
        <v>1089</v>
      </c>
      <c r="E3128" s="627" t="s">
        <v>1090</v>
      </c>
      <c r="F3128" s="634" t="s">
        <v>4082</v>
      </c>
      <c r="G3128" s="661">
        <v>290</v>
      </c>
      <c r="H3128" s="633">
        <v>4900</v>
      </c>
      <c r="I3128" s="618"/>
      <c r="J3128" s="619" t="s">
        <v>1090</v>
      </c>
      <c r="K3128" s="618"/>
      <c r="L3128" s="619">
        <v>95</v>
      </c>
      <c r="M3128" s="620">
        <v>90</v>
      </c>
      <c r="N3128" s="619"/>
      <c r="O3128" s="619">
        <v>24</v>
      </c>
      <c r="P3128" s="619" t="s">
        <v>760</v>
      </c>
      <c r="Q3128" s="618"/>
      <c r="R3128" s="618"/>
      <c r="S3128" s="621" t="s">
        <v>4024</v>
      </c>
      <c r="T3128" s="619" t="s">
        <v>1090</v>
      </c>
    </row>
    <row r="3129" spans="1:20" ht="16" thickBot="1">
      <c r="A3129" s="680"/>
      <c r="B3129" s="785" t="s">
        <v>4083</v>
      </c>
      <c r="C3129" s="786"/>
      <c r="D3129" s="786"/>
      <c r="E3129" s="787"/>
      <c r="F3129" s="681" t="s">
        <v>620</v>
      </c>
      <c r="G3129" s="613"/>
      <c r="H3129" s="614"/>
      <c r="I3129" s="618"/>
      <c r="J3129" s="618"/>
      <c r="K3129" s="618"/>
      <c r="L3129" s="618"/>
      <c r="M3129" s="618"/>
      <c r="N3129" s="618"/>
      <c r="O3129" s="618"/>
      <c r="P3129" s="618"/>
      <c r="Q3129" s="618"/>
      <c r="R3129" s="618"/>
      <c r="S3129" s="621"/>
      <c r="T3129" s="618"/>
    </row>
    <row r="3130" spans="1:20" ht="16" thickTop="1">
      <c r="A3130" s="622"/>
      <c r="B3130" s="628"/>
      <c r="C3130" s="628"/>
      <c r="D3130" s="628"/>
      <c r="E3130" s="628"/>
      <c r="F3130" s="682"/>
      <c r="G3130" s="679"/>
      <c r="H3130" s="628"/>
      <c r="I3130" s="618"/>
      <c r="J3130" s="618"/>
      <c r="K3130" s="618"/>
      <c r="L3130" s="618"/>
      <c r="M3130" s="618"/>
      <c r="N3130" s="618"/>
      <c r="O3130" s="618"/>
      <c r="P3130" s="618"/>
      <c r="Q3130" s="618"/>
      <c r="R3130" s="618"/>
      <c r="S3130" s="621"/>
      <c r="T3130" s="618"/>
    </row>
    <row r="3131" spans="1:20">
      <c r="A3131" s="622"/>
      <c r="B3131" s="628" t="s">
        <v>4084</v>
      </c>
      <c r="C3131" s="770" t="s">
        <v>4085</v>
      </c>
      <c r="D3131" s="771"/>
      <c r="E3131" s="771"/>
      <c r="F3131" s="683"/>
      <c r="G3131" s="679"/>
      <c r="H3131" s="628"/>
      <c r="I3131" s="618"/>
      <c r="J3131" s="618"/>
      <c r="K3131" s="618"/>
      <c r="L3131" s="618"/>
      <c r="M3131" s="618"/>
      <c r="N3131" s="618"/>
      <c r="O3131" s="618"/>
      <c r="P3131" s="618"/>
      <c r="Q3131" s="618"/>
      <c r="R3131" s="618"/>
      <c r="S3131" s="621"/>
      <c r="T3131" s="618"/>
    </row>
    <row r="3132" spans="1:20">
      <c r="A3132" s="622"/>
      <c r="B3132" s="628"/>
      <c r="C3132" s="629">
        <v>122</v>
      </c>
      <c r="D3132" s="784" t="s">
        <v>4086</v>
      </c>
      <c r="E3132" s="771"/>
      <c r="F3132" s="684"/>
      <c r="G3132" s="685"/>
      <c r="H3132" s="623"/>
      <c r="I3132" s="618"/>
      <c r="J3132" s="618"/>
      <c r="K3132" s="618"/>
      <c r="L3132" s="618"/>
      <c r="M3132" s="618"/>
      <c r="N3132" s="618"/>
      <c r="O3132" s="618"/>
      <c r="P3132" s="618"/>
      <c r="Q3132" s="618"/>
      <c r="R3132" s="618"/>
      <c r="S3132" s="621"/>
      <c r="T3132" s="618"/>
    </row>
    <row r="3133" spans="1:20">
      <c r="A3133" s="630">
        <v>3325100</v>
      </c>
      <c r="B3133" s="628"/>
      <c r="C3133" s="628"/>
      <c r="D3133" s="623" t="s">
        <v>756</v>
      </c>
      <c r="E3133" s="627" t="s">
        <v>12</v>
      </c>
      <c r="F3133" s="631" t="s">
        <v>4087</v>
      </c>
      <c r="G3133" s="629">
        <v>332</v>
      </c>
      <c r="H3133" s="635">
        <v>5100</v>
      </c>
      <c r="I3133" s="618"/>
      <c r="J3133" s="619" t="s">
        <v>12</v>
      </c>
      <c r="K3133" s="618"/>
      <c r="L3133" s="619">
        <v>98</v>
      </c>
      <c r="M3133" s="620">
        <v>93</v>
      </c>
      <c r="N3133" s="619"/>
      <c r="O3133" s="619">
        <v>25</v>
      </c>
      <c r="P3133" s="619" t="s">
        <v>760</v>
      </c>
      <c r="Q3133" s="618"/>
      <c r="R3133" s="618"/>
      <c r="S3133" s="621" t="s">
        <v>4086</v>
      </c>
      <c r="T3133" s="619" t="s">
        <v>12</v>
      </c>
    </row>
    <row r="3134" spans="1:20">
      <c r="A3134" s="630">
        <v>3405100</v>
      </c>
      <c r="B3134" s="628"/>
      <c r="C3134" s="628"/>
      <c r="D3134" s="623" t="s">
        <v>775</v>
      </c>
      <c r="E3134" s="627" t="s">
        <v>4088</v>
      </c>
      <c r="F3134" s="631" t="s">
        <v>4089</v>
      </c>
      <c r="G3134" s="686">
        <v>340</v>
      </c>
      <c r="H3134" s="687">
        <v>5100</v>
      </c>
      <c r="I3134" s="618"/>
      <c r="J3134" s="619" t="s">
        <v>4088</v>
      </c>
      <c r="K3134" s="618"/>
      <c r="L3134" s="619">
        <v>101</v>
      </c>
      <c r="M3134" s="620">
        <v>96</v>
      </c>
      <c r="N3134" s="619"/>
      <c r="O3134" s="619">
        <v>25</v>
      </c>
      <c r="P3134" s="619" t="s">
        <v>760</v>
      </c>
      <c r="Q3134" s="618"/>
      <c r="R3134" s="618"/>
      <c r="S3134" s="621" t="s">
        <v>4086</v>
      </c>
      <c r="T3134" s="619" t="s">
        <v>4088</v>
      </c>
    </row>
    <row r="3135" spans="1:20">
      <c r="A3135" s="630">
        <v>3005100</v>
      </c>
      <c r="B3135" s="628"/>
      <c r="C3135" s="628"/>
      <c r="D3135" s="623" t="s">
        <v>799</v>
      </c>
      <c r="E3135" s="627" t="s">
        <v>3869</v>
      </c>
      <c r="F3135" s="688" t="s">
        <v>4090</v>
      </c>
      <c r="G3135" s="686">
        <v>300</v>
      </c>
      <c r="H3135" s="687">
        <v>5100</v>
      </c>
      <c r="I3135" s="618"/>
      <c r="J3135" s="619" t="s">
        <v>3869</v>
      </c>
      <c r="K3135" s="618"/>
      <c r="L3135" s="619">
        <v>101</v>
      </c>
      <c r="M3135" s="620">
        <v>96</v>
      </c>
      <c r="N3135" s="619"/>
      <c r="O3135" s="619">
        <v>25</v>
      </c>
      <c r="P3135" s="619" t="s">
        <v>760</v>
      </c>
      <c r="Q3135" s="618"/>
      <c r="R3135" s="618"/>
      <c r="S3135" s="621" t="s">
        <v>4086</v>
      </c>
      <c r="T3135" s="619" t="s">
        <v>3869</v>
      </c>
    </row>
    <row r="3136" spans="1:20">
      <c r="A3136" s="630">
        <v>5005100</v>
      </c>
      <c r="B3136" s="628"/>
      <c r="C3136" s="628"/>
      <c r="D3136" s="623" t="s">
        <v>803</v>
      </c>
      <c r="E3136" s="627" t="s">
        <v>252</v>
      </c>
      <c r="F3136" s="688" t="s">
        <v>4091</v>
      </c>
      <c r="G3136" s="686">
        <v>500</v>
      </c>
      <c r="H3136" s="687">
        <v>5100</v>
      </c>
      <c r="I3136" s="618"/>
      <c r="J3136" s="619" t="s">
        <v>252</v>
      </c>
      <c r="K3136" s="618"/>
      <c r="L3136" s="619">
        <v>119</v>
      </c>
      <c r="M3136" s="620">
        <v>110</v>
      </c>
      <c r="N3136" s="619"/>
      <c r="O3136" s="619">
        <v>25</v>
      </c>
      <c r="P3136" s="619" t="s">
        <v>760</v>
      </c>
      <c r="Q3136" s="618"/>
      <c r="R3136" s="618"/>
      <c r="S3136" s="621" t="s">
        <v>4086</v>
      </c>
      <c r="T3136" s="619" t="s">
        <v>252</v>
      </c>
    </row>
    <row r="3137" spans="1:20">
      <c r="A3137" s="630">
        <v>6005100</v>
      </c>
      <c r="B3137" s="628"/>
      <c r="C3137" s="628"/>
      <c r="D3137" s="623" t="s">
        <v>848</v>
      </c>
      <c r="E3137" s="627" t="s">
        <v>254</v>
      </c>
      <c r="F3137" s="688" t="s">
        <v>4092</v>
      </c>
      <c r="G3137" s="686">
        <v>600</v>
      </c>
      <c r="H3137" s="687">
        <v>5100</v>
      </c>
      <c r="I3137" s="618"/>
      <c r="J3137" s="619" t="s">
        <v>254</v>
      </c>
      <c r="K3137" s="618"/>
      <c r="L3137" s="619">
        <v>126</v>
      </c>
      <c r="M3137" s="620">
        <v>117</v>
      </c>
      <c r="N3137" s="619"/>
      <c r="O3137" s="619">
        <v>25</v>
      </c>
      <c r="P3137" s="619" t="s">
        <v>760</v>
      </c>
      <c r="Q3137" s="618"/>
      <c r="R3137" s="618"/>
      <c r="S3137" s="621" t="s">
        <v>4086</v>
      </c>
      <c r="T3137" s="619" t="s">
        <v>254</v>
      </c>
    </row>
    <row r="3138" spans="1:20">
      <c r="A3138" s="630">
        <v>8325100</v>
      </c>
      <c r="B3138" s="628"/>
      <c r="C3138" s="628"/>
      <c r="D3138" s="623" t="s">
        <v>851</v>
      </c>
      <c r="E3138" s="627" t="s">
        <v>4093</v>
      </c>
      <c r="F3138" s="688" t="s">
        <v>4094</v>
      </c>
      <c r="G3138" s="686">
        <v>832</v>
      </c>
      <c r="H3138" s="687">
        <v>5100</v>
      </c>
      <c r="I3138" s="618"/>
      <c r="J3138" s="619" t="s">
        <v>4093</v>
      </c>
      <c r="K3138" s="618"/>
      <c r="L3138" s="619">
        <v>137</v>
      </c>
      <c r="M3138" s="620">
        <v>127</v>
      </c>
      <c r="N3138" s="619"/>
      <c r="O3138" s="619">
        <v>25</v>
      </c>
      <c r="P3138" s="619" t="s">
        <v>760</v>
      </c>
      <c r="Q3138" s="618"/>
      <c r="R3138" s="618"/>
      <c r="S3138" s="621" t="s">
        <v>4086</v>
      </c>
      <c r="T3138" s="619" t="s">
        <v>4093</v>
      </c>
    </row>
    <row r="3139" spans="1:20">
      <c r="A3139" s="630">
        <v>8315100</v>
      </c>
      <c r="B3139" s="628"/>
      <c r="C3139" s="628"/>
      <c r="D3139" s="623" t="s">
        <v>854</v>
      </c>
      <c r="E3139" s="627" t="s">
        <v>4095</v>
      </c>
      <c r="F3139" s="688" t="s">
        <v>4096</v>
      </c>
      <c r="G3139" s="686">
        <v>831</v>
      </c>
      <c r="H3139" s="687">
        <v>5100</v>
      </c>
      <c r="I3139" s="618"/>
      <c r="J3139" s="619" t="s">
        <v>4095</v>
      </c>
      <c r="K3139" s="618"/>
      <c r="L3139" s="619">
        <v>138</v>
      </c>
      <c r="M3139" s="620">
        <v>128</v>
      </c>
      <c r="N3139" s="619"/>
      <c r="O3139" s="619">
        <v>25</v>
      </c>
      <c r="P3139" s="619" t="s">
        <v>760</v>
      </c>
      <c r="Q3139" s="618"/>
      <c r="R3139" s="618"/>
      <c r="S3139" s="621" t="s">
        <v>4086</v>
      </c>
      <c r="T3139" s="619" t="s">
        <v>4095</v>
      </c>
    </row>
    <row r="3140" spans="1:20">
      <c r="A3140" s="622"/>
      <c r="B3140" s="628"/>
      <c r="C3140" s="628"/>
      <c r="D3140" s="623" t="s">
        <v>857</v>
      </c>
      <c r="E3140" s="627" t="s">
        <v>4097</v>
      </c>
      <c r="F3140" s="684"/>
      <c r="G3140" s="685"/>
      <c r="H3140" s="623"/>
      <c r="I3140" s="618"/>
      <c r="J3140" s="618"/>
      <c r="K3140" s="618"/>
      <c r="L3140" s="618"/>
      <c r="M3140" s="618"/>
      <c r="N3140" s="618"/>
      <c r="O3140" s="618"/>
      <c r="P3140" s="618"/>
      <c r="Q3140" s="618"/>
      <c r="R3140" s="618"/>
      <c r="S3140" s="621"/>
      <c r="T3140" s="618"/>
    </row>
    <row r="3141" spans="1:20">
      <c r="A3141" s="630">
        <v>8005100</v>
      </c>
      <c r="B3141" s="628"/>
      <c r="C3141" s="628"/>
      <c r="D3141" s="623"/>
      <c r="E3141" s="627" t="s">
        <v>4098</v>
      </c>
      <c r="F3141" s="688" t="s">
        <v>4099</v>
      </c>
      <c r="G3141" s="686">
        <v>800</v>
      </c>
      <c r="H3141" s="687">
        <v>5100</v>
      </c>
      <c r="I3141" s="618"/>
      <c r="J3141" s="619" t="s">
        <v>4098</v>
      </c>
      <c r="K3141" s="618"/>
      <c r="L3141" s="619">
        <v>139</v>
      </c>
      <c r="M3141" s="620">
        <v>129</v>
      </c>
      <c r="N3141" s="619"/>
      <c r="O3141" s="619">
        <v>25</v>
      </c>
      <c r="P3141" s="619" t="s">
        <v>760</v>
      </c>
      <c r="Q3141" s="618"/>
      <c r="R3141" s="618"/>
      <c r="S3141" s="621" t="s">
        <v>4086</v>
      </c>
      <c r="T3141" s="619" t="s">
        <v>4098</v>
      </c>
    </row>
    <row r="3142" spans="1:20">
      <c r="A3142" s="630">
        <v>9155100</v>
      </c>
      <c r="B3142" s="628"/>
      <c r="C3142" s="628"/>
      <c r="D3142" s="623" t="s">
        <v>860</v>
      </c>
      <c r="E3142" s="627" t="s">
        <v>4100</v>
      </c>
      <c r="F3142" s="688" t="s">
        <v>4101</v>
      </c>
      <c r="G3142" s="686">
        <v>915</v>
      </c>
      <c r="H3142" s="687">
        <v>5100</v>
      </c>
      <c r="I3142" s="618"/>
      <c r="J3142" s="619" t="s">
        <v>4100</v>
      </c>
      <c r="K3142" s="618"/>
      <c r="L3142" s="619">
        <v>143</v>
      </c>
      <c r="M3142" s="620">
        <v>134</v>
      </c>
      <c r="N3142" s="619"/>
      <c r="O3142" s="619">
        <v>25</v>
      </c>
      <c r="P3142" s="619" t="s">
        <v>760</v>
      </c>
      <c r="Q3142" s="618"/>
      <c r="R3142" s="618"/>
      <c r="S3142" s="621" t="s">
        <v>4086</v>
      </c>
      <c r="T3142" s="619" t="s">
        <v>4100</v>
      </c>
    </row>
    <row r="3143" spans="1:20" ht="16" thickBot="1">
      <c r="A3143" s="630">
        <v>9005100</v>
      </c>
      <c r="B3143" s="628"/>
      <c r="C3143" s="628"/>
      <c r="D3143" s="623" t="s">
        <v>1089</v>
      </c>
      <c r="E3143" s="627" t="s">
        <v>705</v>
      </c>
      <c r="F3143" s="688" t="s">
        <v>4102</v>
      </c>
      <c r="G3143" s="686">
        <v>900</v>
      </c>
      <c r="H3143" s="687">
        <v>5100</v>
      </c>
      <c r="I3143" s="618"/>
      <c r="J3143" s="619" t="s">
        <v>705</v>
      </c>
      <c r="K3143" s="618"/>
      <c r="L3143" s="619">
        <v>143</v>
      </c>
      <c r="M3143" s="620">
        <v>134</v>
      </c>
      <c r="N3143" s="619"/>
      <c r="O3143" s="619">
        <v>25</v>
      </c>
      <c r="P3143" s="619" t="s">
        <v>760</v>
      </c>
      <c r="Q3143" s="618"/>
      <c r="R3143" s="618"/>
      <c r="S3143" s="621" t="s">
        <v>4086</v>
      </c>
      <c r="T3143" s="619" t="s">
        <v>705</v>
      </c>
    </row>
    <row r="3144" spans="1:20" ht="16.5" thickTop="1" thickBot="1">
      <c r="A3144" s="622"/>
      <c r="B3144" s="689" t="s">
        <v>4103</v>
      </c>
      <c r="C3144" s="657"/>
      <c r="D3144" s="657"/>
      <c r="E3144" s="658"/>
      <c r="F3144" s="660" t="s">
        <v>621</v>
      </c>
      <c r="G3144" s="613"/>
      <c r="H3144" s="614"/>
      <c r="I3144" s="618"/>
      <c r="J3144" s="618"/>
      <c r="K3144" s="618"/>
      <c r="L3144" s="618"/>
      <c r="M3144" s="618"/>
      <c r="N3144" s="618"/>
      <c r="O3144" s="618"/>
      <c r="P3144" s="618"/>
      <c r="Q3144" s="618"/>
      <c r="R3144" s="618"/>
      <c r="S3144" s="621"/>
      <c r="T3144" s="618"/>
    </row>
    <row r="3145" spans="1:20" ht="16.5" thickTop="1" thickBot="1">
      <c r="A3145" s="622"/>
      <c r="B3145" s="657" t="s">
        <v>4104</v>
      </c>
      <c r="C3145" s="613"/>
      <c r="D3145" s="667"/>
      <c r="E3145" s="614"/>
      <c r="F3145" s="660" t="s">
        <v>704</v>
      </c>
      <c r="G3145" s="613"/>
      <c r="H3145" s="614"/>
      <c r="I3145" s="618"/>
      <c r="J3145" s="618"/>
      <c r="K3145" s="618"/>
      <c r="L3145" s="618"/>
      <c r="M3145" s="618"/>
      <c r="N3145" s="618"/>
      <c r="O3145" s="618"/>
      <c r="P3145" s="618"/>
      <c r="Q3145" s="618"/>
      <c r="R3145" s="618"/>
      <c r="S3145" s="621"/>
      <c r="T3145" s="618"/>
    </row>
    <row r="3146" spans="1:20" ht="16" thickTop="1">
      <c r="A3146" s="622"/>
      <c r="B3146" s="628"/>
      <c r="C3146" s="628"/>
      <c r="D3146" s="623"/>
      <c r="E3146" s="627"/>
      <c r="F3146" s="626"/>
      <c r="G3146" s="623"/>
      <c r="H3146" s="627"/>
      <c r="I3146" s="618"/>
      <c r="J3146" s="618"/>
      <c r="K3146" s="618"/>
      <c r="L3146" s="618"/>
      <c r="M3146" s="618"/>
      <c r="N3146" s="618"/>
      <c r="O3146" s="618"/>
      <c r="P3146" s="618"/>
      <c r="Q3146" s="618"/>
      <c r="R3146" s="618"/>
      <c r="S3146" s="621"/>
      <c r="T3146" s="618"/>
    </row>
    <row r="3147" spans="1:20">
      <c r="A3147" s="622"/>
      <c r="B3147" s="628" t="s">
        <v>4105</v>
      </c>
      <c r="C3147" s="770" t="s">
        <v>4106</v>
      </c>
      <c r="D3147" s="771"/>
      <c r="E3147" s="775"/>
      <c r="F3147" s="626"/>
      <c r="G3147" s="623"/>
      <c r="H3147" s="627"/>
      <c r="I3147" s="618"/>
      <c r="J3147" s="618"/>
      <c r="K3147" s="618"/>
      <c r="L3147" s="618"/>
      <c r="M3147" s="618"/>
      <c r="N3147" s="618"/>
      <c r="O3147" s="618"/>
      <c r="P3147" s="618"/>
      <c r="Q3147" s="618"/>
      <c r="R3147" s="618"/>
      <c r="S3147" s="621"/>
      <c r="T3147" s="618"/>
    </row>
    <row r="3148" spans="1:20">
      <c r="A3148" s="622"/>
      <c r="B3148" s="628" t="s">
        <v>999</v>
      </c>
      <c r="C3148" s="770" t="s">
        <v>656</v>
      </c>
      <c r="D3148" s="771"/>
      <c r="E3148" s="775"/>
      <c r="F3148" s="626"/>
      <c r="G3148" s="623"/>
      <c r="H3148" s="627"/>
      <c r="I3148" s="618"/>
      <c r="J3148" s="618"/>
      <c r="K3148" s="618"/>
      <c r="L3148" s="618"/>
      <c r="M3148" s="618"/>
      <c r="N3148" s="618"/>
      <c r="O3148" s="618"/>
      <c r="P3148" s="618"/>
      <c r="Q3148" s="618"/>
      <c r="R3148" s="618"/>
      <c r="S3148" s="621"/>
      <c r="T3148" s="618"/>
    </row>
    <row r="3149" spans="1:20">
      <c r="A3149" s="622"/>
      <c r="B3149" s="623"/>
      <c r="C3149" s="629">
        <v>123</v>
      </c>
      <c r="D3149" s="774" t="s">
        <v>4107</v>
      </c>
      <c r="E3149" s="775"/>
      <c r="F3149" s="626"/>
      <c r="G3149" s="623"/>
      <c r="H3149" s="627"/>
      <c r="I3149" s="618"/>
      <c r="J3149" s="618"/>
      <c r="K3149" s="618"/>
      <c r="L3149" s="618"/>
      <c r="M3149" s="618"/>
      <c r="N3149" s="618"/>
      <c r="O3149" s="618"/>
      <c r="P3149" s="618"/>
      <c r="Q3149" s="618"/>
      <c r="R3149" s="618"/>
      <c r="S3149" s="621"/>
      <c r="T3149" s="618"/>
    </row>
    <row r="3150" spans="1:20">
      <c r="A3150" s="630">
        <v>5110</v>
      </c>
      <c r="B3150" s="623"/>
      <c r="C3150" s="623"/>
      <c r="D3150" s="623" t="s">
        <v>756</v>
      </c>
      <c r="E3150" s="627" t="s">
        <v>4108</v>
      </c>
      <c r="F3150" s="631" t="s">
        <v>4109</v>
      </c>
      <c r="G3150" s="632"/>
      <c r="H3150" s="633">
        <v>5110</v>
      </c>
      <c r="I3150" s="618"/>
      <c r="J3150" s="619" t="s">
        <v>4108</v>
      </c>
      <c r="K3150" s="618"/>
      <c r="L3150" s="619">
        <v>144</v>
      </c>
      <c r="M3150" s="620">
        <v>134</v>
      </c>
      <c r="N3150" s="618"/>
      <c r="O3150" s="618"/>
      <c r="P3150" s="618"/>
      <c r="Q3150" s="618"/>
      <c r="R3150" s="618"/>
      <c r="S3150" s="621" t="s">
        <v>4107</v>
      </c>
      <c r="T3150" s="619" t="s">
        <v>4108</v>
      </c>
    </row>
    <row r="3151" spans="1:20">
      <c r="A3151" s="630">
        <v>5120</v>
      </c>
      <c r="B3151" s="623"/>
      <c r="C3151" s="623"/>
      <c r="D3151" s="623" t="s">
        <v>775</v>
      </c>
      <c r="E3151" s="627" t="s">
        <v>4110</v>
      </c>
      <c r="F3151" s="631" t="s">
        <v>4111</v>
      </c>
      <c r="G3151" s="632"/>
      <c r="H3151" s="633">
        <v>5120</v>
      </c>
      <c r="I3151" s="618"/>
      <c r="J3151" s="619" t="s">
        <v>4110</v>
      </c>
      <c r="K3151" s="618"/>
      <c r="L3151" s="619">
        <v>143</v>
      </c>
      <c r="M3151" s="620">
        <v>134</v>
      </c>
      <c r="N3151" s="618"/>
      <c r="O3151" s="618"/>
      <c r="P3151" s="618"/>
      <c r="Q3151" s="618"/>
      <c r="R3151" s="618"/>
      <c r="S3151" s="621" t="s">
        <v>4107</v>
      </c>
      <c r="T3151" s="619" t="s">
        <v>4110</v>
      </c>
    </row>
    <row r="3152" spans="1:20">
      <c r="A3152" s="622"/>
      <c r="B3152" s="623"/>
      <c r="C3152" s="629">
        <v>124</v>
      </c>
      <c r="D3152" s="784" t="s">
        <v>4112</v>
      </c>
      <c r="E3152" s="775"/>
      <c r="F3152" s="626"/>
      <c r="G3152" s="623"/>
      <c r="H3152" s="627"/>
      <c r="I3152" s="618"/>
      <c r="J3152" s="618"/>
      <c r="K3152" s="618"/>
      <c r="L3152" s="618"/>
      <c r="M3152" s="618"/>
      <c r="N3152" s="618"/>
      <c r="O3152" s="618"/>
      <c r="P3152" s="618"/>
      <c r="Q3152" s="618"/>
      <c r="R3152" s="618"/>
      <c r="S3152" s="621"/>
      <c r="T3152" s="618"/>
    </row>
    <row r="3153" spans="1:20">
      <c r="A3153" s="630">
        <v>5210</v>
      </c>
      <c r="B3153" s="623"/>
      <c r="C3153" s="623"/>
      <c r="D3153" s="623" t="s">
        <v>756</v>
      </c>
      <c r="E3153" s="627" t="s">
        <v>4113</v>
      </c>
      <c r="F3153" s="631" t="s">
        <v>4114</v>
      </c>
      <c r="G3153" s="632"/>
      <c r="H3153" s="633">
        <v>5210</v>
      </c>
      <c r="I3153" s="618"/>
      <c r="J3153" s="619" t="s">
        <v>4113</v>
      </c>
      <c r="K3153" s="618"/>
      <c r="L3153" s="619">
        <v>142</v>
      </c>
      <c r="M3153" s="620">
        <v>133</v>
      </c>
      <c r="N3153" s="618"/>
      <c r="O3153" s="618"/>
      <c r="P3153" s="618"/>
      <c r="Q3153" s="618"/>
      <c r="R3153" s="618"/>
      <c r="S3153" s="621" t="s">
        <v>4112</v>
      </c>
      <c r="T3153" s="619" t="s">
        <v>4113</v>
      </c>
    </row>
    <row r="3154" spans="1:20">
      <c r="A3154" s="630">
        <v>5220</v>
      </c>
      <c r="B3154" s="623"/>
      <c r="C3154" s="623"/>
      <c r="D3154" s="623" t="s">
        <v>775</v>
      </c>
      <c r="E3154" s="627" t="s">
        <v>4115</v>
      </c>
      <c r="F3154" s="631" t="s">
        <v>4116</v>
      </c>
      <c r="G3154" s="632"/>
      <c r="H3154" s="633">
        <v>5220</v>
      </c>
      <c r="I3154" s="618"/>
      <c r="J3154" s="619" t="s">
        <v>4115</v>
      </c>
      <c r="K3154" s="618"/>
      <c r="L3154" s="619">
        <v>143</v>
      </c>
      <c r="M3154" s="620">
        <v>134</v>
      </c>
      <c r="N3154" s="618"/>
      <c r="O3154" s="618"/>
      <c r="P3154" s="618"/>
      <c r="Q3154" s="618"/>
      <c r="R3154" s="618"/>
      <c r="S3154" s="621" t="s">
        <v>4112</v>
      </c>
      <c r="T3154" s="619" t="s">
        <v>4115</v>
      </c>
    </row>
    <row r="3155" spans="1:20">
      <c r="A3155" s="630">
        <v>5300</v>
      </c>
      <c r="B3155" s="623"/>
      <c r="C3155" s="629">
        <v>125</v>
      </c>
      <c r="D3155" s="784" t="s">
        <v>4117</v>
      </c>
      <c r="E3155" s="775"/>
      <c r="F3155" s="631" t="s">
        <v>4118</v>
      </c>
      <c r="G3155" s="632"/>
      <c r="H3155" s="633">
        <v>5300</v>
      </c>
      <c r="I3155" s="618"/>
      <c r="J3155" s="619" t="s">
        <v>4117</v>
      </c>
      <c r="K3155" s="618"/>
      <c r="L3155" s="619">
        <v>143</v>
      </c>
      <c r="M3155" s="620">
        <v>134</v>
      </c>
      <c r="N3155" s="618"/>
      <c r="O3155" s="618"/>
      <c r="P3155" s="618"/>
      <c r="Q3155" s="618"/>
      <c r="R3155" s="618"/>
      <c r="S3155" s="621" t="s">
        <v>4119</v>
      </c>
      <c r="T3155" s="619" t="s">
        <v>4117</v>
      </c>
    </row>
    <row r="3156" spans="1:20">
      <c r="A3156" s="630">
        <v>5400</v>
      </c>
      <c r="B3156" s="623"/>
      <c r="C3156" s="629">
        <v>126</v>
      </c>
      <c r="D3156" s="774" t="s">
        <v>4120</v>
      </c>
      <c r="E3156" s="775"/>
      <c r="F3156" s="631" t="s">
        <v>4121</v>
      </c>
      <c r="G3156" s="632"/>
      <c r="H3156" s="633">
        <v>5400</v>
      </c>
      <c r="I3156" s="618"/>
      <c r="J3156" s="619" t="s">
        <v>4120</v>
      </c>
      <c r="K3156" s="618"/>
      <c r="L3156" s="619">
        <v>143</v>
      </c>
      <c r="M3156" s="620">
        <v>134</v>
      </c>
      <c r="N3156" s="618"/>
      <c r="O3156" s="618"/>
      <c r="P3156" s="618"/>
      <c r="Q3156" s="618"/>
      <c r="R3156" s="618"/>
      <c r="S3156" s="621" t="s">
        <v>4119</v>
      </c>
      <c r="T3156" s="619" t="s">
        <v>4120</v>
      </c>
    </row>
    <row r="3157" spans="1:20" ht="16" thickBot="1">
      <c r="A3157" s="630">
        <v>5500</v>
      </c>
      <c r="B3157" s="623"/>
      <c r="C3157" s="629">
        <v>127</v>
      </c>
      <c r="D3157" s="774" t="s">
        <v>4122</v>
      </c>
      <c r="E3157" s="775"/>
      <c r="F3157" s="631" t="s">
        <v>4123</v>
      </c>
      <c r="G3157" s="632"/>
      <c r="H3157" s="633">
        <v>5500</v>
      </c>
      <c r="I3157" s="618"/>
      <c r="J3157" s="619" t="s">
        <v>4122</v>
      </c>
      <c r="K3157" s="618"/>
      <c r="L3157" s="619">
        <v>143</v>
      </c>
      <c r="M3157" s="620">
        <v>134</v>
      </c>
      <c r="N3157" s="618"/>
      <c r="O3157" s="618"/>
      <c r="P3157" s="618"/>
      <c r="Q3157" s="618"/>
      <c r="R3157" s="618"/>
      <c r="S3157" s="621" t="s">
        <v>4119</v>
      </c>
      <c r="T3157" s="619" t="s">
        <v>4122</v>
      </c>
    </row>
    <row r="3158" spans="1:20" ht="16.5" thickTop="1" thickBot="1">
      <c r="A3158" s="622"/>
      <c r="B3158" s="781" t="s">
        <v>4124</v>
      </c>
      <c r="C3158" s="773"/>
      <c r="D3158" s="773"/>
      <c r="E3158" s="782"/>
      <c r="F3158" s="656" t="s">
        <v>658</v>
      </c>
      <c r="G3158" s="690"/>
      <c r="H3158" s="691"/>
      <c r="I3158" s="618"/>
      <c r="J3158" s="618"/>
      <c r="K3158" s="618"/>
      <c r="L3158" s="618"/>
      <c r="M3158" s="618"/>
      <c r="N3158" s="618"/>
      <c r="O3158" s="618"/>
      <c r="P3158" s="618"/>
      <c r="Q3158" s="618"/>
      <c r="R3158" s="618"/>
      <c r="S3158" s="621"/>
      <c r="T3158" s="618"/>
    </row>
    <row r="3159" spans="1:20" ht="16" thickTop="1">
      <c r="A3159" s="622"/>
      <c r="B3159" s="628" t="s">
        <v>1093</v>
      </c>
      <c r="C3159" s="770" t="s">
        <v>705</v>
      </c>
      <c r="D3159" s="771"/>
      <c r="E3159" s="775"/>
      <c r="F3159" s="626"/>
      <c r="G3159" s="623"/>
      <c r="H3159" s="627"/>
      <c r="I3159" s="618"/>
      <c r="J3159" s="618"/>
      <c r="K3159" s="618"/>
      <c r="L3159" s="618"/>
      <c r="M3159" s="618"/>
      <c r="N3159" s="618"/>
      <c r="O3159" s="618"/>
      <c r="P3159" s="618"/>
      <c r="Q3159" s="618"/>
      <c r="R3159" s="618"/>
      <c r="S3159" s="621"/>
      <c r="T3159" s="618"/>
    </row>
    <row r="3160" spans="1:20">
      <c r="A3160" s="622"/>
      <c r="B3160" s="628"/>
      <c r="C3160" s="629">
        <v>128</v>
      </c>
      <c r="D3160" s="774" t="s">
        <v>4125</v>
      </c>
      <c r="E3160" s="775"/>
      <c r="F3160" s="626"/>
      <c r="G3160" s="623"/>
      <c r="H3160" s="627"/>
      <c r="I3160" s="618"/>
      <c r="J3160" s="618"/>
      <c r="K3160" s="618"/>
      <c r="L3160" s="618"/>
      <c r="M3160" s="618"/>
      <c r="N3160" s="618"/>
      <c r="O3160" s="618"/>
      <c r="P3160" s="618"/>
      <c r="Q3160" s="618"/>
      <c r="R3160" s="618"/>
      <c r="S3160" s="621"/>
      <c r="T3160" s="618"/>
    </row>
    <row r="3161" spans="1:20">
      <c r="A3161" s="630">
        <v>9325200</v>
      </c>
      <c r="B3161" s="623"/>
      <c r="C3161" s="623"/>
      <c r="D3161" s="623" t="s">
        <v>756</v>
      </c>
      <c r="E3161" s="627" t="s">
        <v>4126</v>
      </c>
      <c r="F3161" s="634" t="s">
        <v>4127</v>
      </c>
      <c r="G3161" s="629">
        <v>932</v>
      </c>
      <c r="H3161" s="635">
        <v>5200</v>
      </c>
      <c r="I3161" s="618"/>
      <c r="J3161" s="619" t="s">
        <v>4126</v>
      </c>
      <c r="K3161" s="618"/>
      <c r="L3161" s="619">
        <v>143</v>
      </c>
      <c r="M3161" s="620">
        <v>134</v>
      </c>
      <c r="N3161" s="619"/>
      <c r="O3161" s="619">
        <v>26</v>
      </c>
      <c r="P3161" s="619" t="s">
        <v>760</v>
      </c>
      <c r="Q3161" s="618"/>
      <c r="R3161" s="618"/>
      <c r="S3161" s="621" t="s">
        <v>4125</v>
      </c>
      <c r="T3161" s="619" t="s">
        <v>4126</v>
      </c>
    </row>
    <row r="3162" spans="1:20">
      <c r="A3162" s="630">
        <v>9335200</v>
      </c>
      <c r="B3162" s="623"/>
      <c r="C3162" s="623"/>
      <c r="D3162" s="623" t="s">
        <v>775</v>
      </c>
      <c r="E3162" s="627" t="s">
        <v>20</v>
      </c>
      <c r="F3162" s="688" t="s">
        <v>4128</v>
      </c>
      <c r="G3162" s="686">
        <v>933</v>
      </c>
      <c r="H3162" s="687">
        <v>5200</v>
      </c>
      <c r="I3162" s="618"/>
      <c r="J3162" s="619" t="s">
        <v>20</v>
      </c>
      <c r="K3162" s="618"/>
      <c r="L3162" s="619">
        <v>142</v>
      </c>
      <c r="M3162" s="620">
        <v>133</v>
      </c>
      <c r="N3162" s="619"/>
      <c r="O3162" s="619">
        <v>26</v>
      </c>
      <c r="P3162" s="619" t="s">
        <v>760</v>
      </c>
      <c r="Q3162" s="618"/>
      <c r="R3162" s="618"/>
      <c r="S3162" s="621" t="s">
        <v>4125</v>
      </c>
      <c r="T3162" s="619" t="s">
        <v>20</v>
      </c>
    </row>
    <row r="3163" spans="1:20">
      <c r="A3163" s="630">
        <v>8905200</v>
      </c>
      <c r="B3163" s="623"/>
      <c r="C3163" s="623"/>
      <c r="D3163" s="623" t="s">
        <v>799</v>
      </c>
      <c r="E3163" s="627" t="s">
        <v>4129</v>
      </c>
      <c r="F3163" s="688" t="s">
        <v>4130</v>
      </c>
      <c r="G3163" s="686">
        <v>890</v>
      </c>
      <c r="H3163" s="687">
        <v>5200</v>
      </c>
      <c r="I3163" s="618"/>
      <c r="J3163" s="619" t="s">
        <v>4129</v>
      </c>
      <c r="K3163" s="618"/>
      <c r="L3163" s="619">
        <v>139</v>
      </c>
      <c r="M3163" s="620">
        <v>129</v>
      </c>
      <c r="N3163" s="619"/>
      <c r="O3163" s="619">
        <v>26</v>
      </c>
      <c r="P3163" s="619" t="s">
        <v>760</v>
      </c>
      <c r="Q3163" s="618"/>
      <c r="R3163" s="618"/>
      <c r="S3163" s="621" t="s">
        <v>4125</v>
      </c>
      <c r="T3163" s="619" t="s">
        <v>4129</v>
      </c>
    </row>
    <row r="3164" spans="1:20" ht="16" thickBot="1">
      <c r="A3164" s="630">
        <v>9405300</v>
      </c>
      <c r="B3164" s="623"/>
      <c r="C3164" s="623"/>
      <c r="D3164" s="623" t="s">
        <v>803</v>
      </c>
      <c r="E3164" s="627" t="s">
        <v>4131</v>
      </c>
      <c r="F3164" s="688" t="s">
        <v>4132</v>
      </c>
      <c r="G3164" s="686">
        <v>940</v>
      </c>
      <c r="H3164" s="687">
        <v>5300</v>
      </c>
      <c r="I3164" s="618"/>
      <c r="J3164" s="619" t="s">
        <v>4131</v>
      </c>
      <c r="K3164" s="618"/>
      <c r="L3164" s="619">
        <v>143</v>
      </c>
      <c r="M3164" s="620">
        <v>134</v>
      </c>
      <c r="N3164" s="618"/>
      <c r="O3164" s="618"/>
      <c r="P3164" s="618"/>
      <c r="Q3164" s="618"/>
      <c r="R3164" s="618"/>
      <c r="S3164" s="621" t="s">
        <v>4125</v>
      </c>
      <c r="T3164" s="619" t="s">
        <v>4131</v>
      </c>
    </row>
    <row r="3165" spans="1:20" ht="16.5" thickTop="1" thickBot="1">
      <c r="A3165" s="622"/>
      <c r="B3165" s="781" t="s">
        <v>4133</v>
      </c>
      <c r="C3165" s="773"/>
      <c r="D3165" s="773"/>
      <c r="E3165" s="782"/>
      <c r="F3165" s="656" t="s">
        <v>622</v>
      </c>
      <c r="G3165" s="690"/>
      <c r="H3165" s="691"/>
      <c r="I3165" s="618"/>
      <c r="J3165" s="618"/>
      <c r="K3165" s="618"/>
      <c r="L3165" s="618"/>
      <c r="M3165" s="618"/>
      <c r="N3165" s="618"/>
      <c r="O3165" s="618"/>
      <c r="P3165" s="618"/>
      <c r="Q3165" s="618"/>
      <c r="R3165" s="618"/>
      <c r="S3165" s="621"/>
      <c r="T3165" s="618"/>
    </row>
    <row r="3166" spans="1:20" ht="16.5" thickTop="1" thickBot="1">
      <c r="A3166" s="622"/>
      <c r="B3166" s="781" t="s">
        <v>4134</v>
      </c>
      <c r="C3166" s="773"/>
      <c r="D3166" s="773"/>
      <c r="E3166" s="782"/>
      <c r="F3166" s="656" t="s">
        <v>4135</v>
      </c>
      <c r="G3166" s="667"/>
      <c r="H3166" s="692"/>
      <c r="I3166" s="618"/>
      <c r="J3166" s="618"/>
      <c r="K3166" s="618"/>
      <c r="L3166" s="618"/>
      <c r="M3166" s="618"/>
      <c r="N3166" s="618"/>
      <c r="O3166" s="618"/>
      <c r="P3166" s="618"/>
      <c r="Q3166" s="618"/>
      <c r="R3166" s="618"/>
      <c r="S3166" s="621"/>
      <c r="T3166" s="618"/>
    </row>
    <row r="3167" spans="1:20" ht="16" thickTop="1">
      <c r="A3167" s="622"/>
      <c r="B3167" s="623"/>
      <c r="C3167" s="623"/>
      <c r="D3167" s="623"/>
      <c r="E3167" s="627"/>
      <c r="F3167" s="626"/>
      <c r="G3167" s="623"/>
      <c r="H3167" s="627"/>
      <c r="I3167" s="618"/>
      <c r="J3167" s="618"/>
      <c r="K3167" s="618"/>
      <c r="L3167" s="618"/>
      <c r="M3167" s="618"/>
      <c r="N3167" s="618"/>
      <c r="O3167" s="618"/>
      <c r="P3167" s="618"/>
      <c r="Q3167" s="618"/>
      <c r="R3167" s="618"/>
      <c r="S3167" s="621"/>
      <c r="T3167" s="618"/>
    </row>
    <row r="3168" spans="1:20">
      <c r="A3168" s="622"/>
      <c r="B3168" s="783" t="s">
        <v>4136</v>
      </c>
      <c r="C3168" s="771"/>
      <c r="D3168" s="771"/>
      <c r="E3168" s="775"/>
      <c r="F3168" s="626"/>
      <c r="G3168" s="623"/>
      <c r="H3168" s="627"/>
      <c r="I3168" s="618"/>
      <c r="J3168" s="618"/>
      <c r="K3168" s="618"/>
      <c r="L3168" s="618"/>
      <c r="M3168" s="618"/>
      <c r="N3168" s="618"/>
      <c r="O3168" s="618"/>
      <c r="P3168" s="618"/>
      <c r="Q3168" s="618"/>
      <c r="R3168" s="618"/>
      <c r="S3168" s="621"/>
      <c r="T3168" s="618"/>
    </row>
    <row r="3169" spans="1:20">
      <c r="A3169" s="622"/>
      <c r="B3169" s="623"/>
      <c r="C3169" s="629">
        <v>129</v>
      </c>
      <c r="D3169" s="774" t="s">
        <v>4137</v>
      </c>
      <c r="E3169" s="775"/>
      <c r="F3169" s="626"/>
      <c r="G3169" s="623"/>
      <c r="H3169" s="627"/>
      <c r="I3169" s="618"/>
      <c r="J3169" s="618"/>
      <c r="K3169" s="618"/>
      <c r="L3169" s="618"/>
      <c r="M3169" s="618"/>
      <c r="N3169" s="618"/>
      <c r="O3169" s="618"/>
      <c r="P3169" s="618"/>
      <c r="Q3169" s="618"/>
      <c r="R3169" s="618"/>
      <c r="S3169" s="621"/>
      <c r="T3169" s="618"/>
    </row>
    <row r="3170" spans="1:20">
      <c r="A3170" s="622"/>
      <c r="B3170" s="623"/>
      <c r="C3170" s="623"/>
      <c r="D3170" s="774" t="s">
        <v>4138</v>
      </c>
      <c r="E3170" s="775"/>
      <c r="F3170" s="626"/>
      <c r="G3170" s="623"/>
      <c r="H3170" s="627"/>
      <c r="I3170" s="618"/>
      <c r="J3170" s="618"/>
      <c r="K3170" s="618"/>
      <c r="L3170" s="618"/>
      <c r="M3170" s="618"/>
      <c r="N3170" s="618"/>
      <c r="O3170" s="618"/>
      <c r="P3170" s="618"/>
      <c r="Q3170" s="618"/>
      <c r="R3170" s="618"/>
      <c r="S3170" s="621"/>
      <c r="T3170" s="618"/>
    </row>
    <row r="3171" spans="1:20">
      <c r="A3171" s="622"/>
      <c r="B3171" s="623"/>
      <c r="C3171" s="623"/>
      <c r="D3171" s="774" t="s">
        <v>4139</v>
      </c>
      <c r="E3171" s="775"/>
      <c r="F3171" s="631" t="s">
        <v>710</v>
      </c>
      <c r="G3171" s="779" t="s">
        <v>4140</v>
      </c>
      <c r="H3171" s="780"/>
      <c r="I3171" s="618"/>
      <c r="J3171" s="618"/>
      <c r="K3171" s="618"/>
      <c r="L3171" s="618"/>
      <c r="M3171" s="618"/>
      <c r="N3171" s="618"/>
      <c r="O3171" s="618"/>
      <c r="P3171" s="618"/>
      <c r="Q3171" s="618"/>
      <c r="R3171" s="618"/>
      <c r="S3171" s="621"/>
      <c r="T3171" s="618"/>
    </row>
    <row r="3172" spans="1:20">
      <c r="A3172" s="622"/>
      <c r="B3172" s="623"/>
      <c r="C3172" s="629">
        <v>130</v>
      </c>
      <c r="D3172" s="774" t="s">
        <v>4141</v>
      </c>
      <c r="E3172" s="775"/>
      <c r="F3172" s="631" t="s">
        <v>712</v>
      </c>
      <c r="G3172" s="632"/>
      <c r="H3172" s="637"/>
      <c r="I3172" s="618"/>
      <c r="J3172" s="618"/>
      <c r="K3172" s="618"/>
      <c r="L3172" s="618"/>
      <c r="M3172" s="618"/>
      <c r="N3172" s="618"/>
      <c r="O3172" s="618"/>
      <c r="P3172" s="618"/>
      <c r="Q3172" s="618"/>
      <c r="R3172" s="618"/>
      <c r="S3172" s="621"/>
      <c r="T3172" s="618"/>
    </row>
    <row r="3173" spans="1:20">
      <c r="A3173" s="622"/>
      <c r="B3173" s="623"/>
      <c r="C3173" s="629">
        <v>131</v>
      </c>
      <c r="D3173" s="774" t="s">
        <v>4142</v>
      </c>
      <c r="E3173" s="775"/>
      <c r="F3173" s="631" t="s">
        <v>714</v>
      </c>
      <c r="G3173" s="632"/>
      <c r="H3173" s="637"/>
      <c r="I3173" s="618"/>
      <c r="J3173" s="618"/>
      <c r="K3173" s="618"/>
      <c r="L3173" s="618"/>
      <c r="M3173" s="618"/>
      <c r="N3173" s="618"/>
      <c r="O3173" s="618"/>
      <c r="P3173" s="618"/>
      <c r="Q3173" s="618"/>
      <c r="R3173" s="618"/>
      <c r="S3173" s="621"/>
      <c r="T3173" s="618"/>
    </row>
    <row r="3174" spans="1:20">
      <c r="A3174" s="622"/>
      <c r="B3174" s="623"/>
      <c r="C3174" s="629">
        <v>132</v>
      </c>
      <c r="D3174" s="774" t="s">
        <v>4143</v>
      </c>
      <c r="E3174" s="775"/>
      <c r="F3174" s="631" t="s">
        <v>716</v>
      </c>
      <c r="G3174" s="632"/>
      <c r="H3174" s="637"/>
      <c r="I3174" s="618"/>
      <c r="J3174" s="618"/>
      <c r="K3174" s="618"/>
      <c r="L3174" s="618"/>
      <c r="M3174" s="618"/>
      <c r="N3174" s="618"/>
      <c r="O3174" s="618"/>
      <c r="P3174" s="618"/>
      <c r="Q3174" s="618"/>
      <c r="R3174" s="618"/>
      <c r="S3174" s="621"/>
      <c r="T3174" s="618"/>
    </row>
    <row r="3175" spans="1:20">
      <c r="A3175" s="622"/>
      <c r="B3175" s="623"/>
      <c r="C3175" s="629">
        <v>133</v>
      </c>
      <c r="D3175" s="774" t="s">
        <v>4144</v>
      </c>
      <c r="E3175" s="775"/>
      <c r="F3175" s="631" t="s">
        <v>718</v>
      </c>
      <c r="G3175" s="632"/>
      <c r="H3175" s="637"/>
      <c r="I3175" s="618"/>
      <c r="J3175" s="618"/>
      <c r="K3175" s="618"/>
      <c r="L3175" s="618"/>
      <c r="M3175" s="618"/>
      <c r="N3175" s="618"/>
      <c r="O3175" s="618"/>
      <c r="P3175" s="618"/>
      <c r="Q3175" s="618"/>
      <c r="R3175" s="618"/>
      <c r="S3175" s="621"/>
      <c r="T3175" s="618"/>
    </row>
    <row r="3176" spans="1:20" ht="16" thickBot="1">
      <c r="A3176" s="622"/>
      <c r="B3176" s="667"/>
      <c r="C3176" s="693">
        <v>134</v>
      </c>
      <c r="D3176" s="776" t="s">
        <v>4145</v>
      </c>
      <c r="E3176" s="777"/>
      <c r="F3176" s="694" t="s">
        <v>720</v>
      </c>
      <c r="G3176" s="778" t="s">
        <v>4140</v>
      </c>
      <c r="H3176" s="777"/>
      <c r="I3176" s="618"/>
      <c r="J3176" s="618"/>
      <c r="K3176" s="618"/>
      <c r="L3176" s="618"/>
      <c r="M3176" s="618"/>
      <c r="N3176" s="618"/>
      <c r="O3176" s="618"/>
      <c r="P3176" s="618"/>
      <c r="Q3176" s="618"/>
      <c r="R3176" s="618"/>
      <c r="S3176" s="621"/>
      <c r="T3176" s="618"/>
    </row>
    <row r="3177" spans="1:20" ht="16" thickTop="1">
      <c r="A3177" s="643">
        <v>5402400</v>
      </c>
      <c r="B3177" s="644"/>
      <c r="C3177" s="644"/>
      <c r="D3177" s="644"/>
      <c r="E3177" s="645" t="s">
        <v>4146</v>
      </c>
      <c r="F3177" s="695" t="s">
        <v>3165</v>
      </c>
      <c r="G3177" s="696">
        <v>500</v>
      </c>
      <c r="H3177" s="648">
        <v>2400</v>
      </c>
      <c r="I3177" s="646"/>
      <c r="J3177" s="646" t="s">
        <v>4146</v>
      </c>
      <c r="K3177" s="646"/>
      <c r="L3177" s="646">
        <v>119</v>
      </c>
      <c r="M3177" s="646">
        <v>110</v>
      </c>
      <c r="N3177" s="646"/>
      <c r="O3177" s="646">
        <v>16</v>
      </c>
      <c r="P3177" s="646" t="s">
        <v>760</v>
      </c>
      <c r="Q3177" s="697"/>
      <c r="R3177" s="646"/>
      <c r="S3177" s="646" t="s">
        <v>682</v>
      </c>
      <c r="T3177" s="646" t="s">
        <v>252</v>
      </c>
    </row>
    <row r="3178" spans="1:20">
      <c r="A3178" s="643">
        <v>9999999</v>
      </c>
      <c r="B3178" s="644"/>
      <c r="C3178" s="644"/>
      <c r="D3178" s="644"/>
      <c r="E3178" s="645" t="s">
        <v>4147</v>
      </c>
      <c r="F3178" s="631" t="s">
        <v>3177</v>
      </c>
      <c r="G3178" s="661">
        <v>800</v>
      </c>
      <c r="H3178" s="633">
        <v>2400</v>
      </c>
      <c r="I3178" s="618"/>
      <c r="J3178" s="619" t="s">
        <v>1061</v>
      </c>
      <c r="K3178" s="618"/>
      <c r="L3178" s="619">
        <v>139</v>
      </c>
      <c r="M3178" s="620">
        <v>129</v>
      </c>
      <c r="N3178" s="619"/>
      <c r="O3178" s="619">
        <v>16</v>
      </c>
      <c r="P3178" s="619" t="s">
        <v>760</v>
      </c>
      <c r="Q3178" s="662"/>
      <c r="R3178" s="618"/>
      <c r="S3178" s="621" t="s">
        <v>682</v>
      </c>
      <c r="T3178" s="619" t="s">
        <v>1061</v>
      </c>
    </row>
    <row r="3179" spans="1:20">
      <c r="A3179" s="698">
        <v>8952420</v>
      </c>
      <c r="B3179" s="646"/>
      <c r="C3179" s="644"/>
      <c r="D3179" s="644"/>
      <c r="E3179" s="699" t="s">
        <v>4148</v>
      </c>
      <c r="F3179" s="695" t="s">
        <v>3408</v>
      </c>
      <c r="G3179" s="646">
        <v>895</v>
      </c>
      <c r="H3179" s="700">
        <v>2420</v>
      </c>
      <c r="I3179" s="646"/>
      <c r="J3179" s="646" t="s">
        <v>4148</v>
      </c>
      <c r="K3179" s="619" t="s">
        <v>841</v>
      </c>
      <c r="L3179" s="619">
        <v>105</v>
      </c>
      <c r="M3179" s="620">
        <v>100</v>
      </c>
      <c r="N3179" s="619"/>
      <c r="O3179" s="619">
        <v>18</v>
      </c>
      <c r="P3179" s="619" t="s">
        <v>760</v>
      </c>
      <c r="Q3179" s="618"/>
      <c r="R3179" s="618"/>
      <c r="S3179" s="621" t="s">
        <v>3381</v>
      </c>
      <c r="T3179" s="619" t="s">
        <v>3409</v>
      </c>
    </row>
    <row r="3180" spans="1:20">
      <c r="A3180" s="698">
        <v>8952421</v>
      </c>
      <c r="B3180" s="646"/>
      <c r="C3180" s="644"/>
      <c r="D3180" s="644"/>
      <c r="E3180" s="699" t="s">
        <v>4149</v>
      </c>
      <c r="F3180" s="695" t="s">
        <v>3408</v>
      </c>
      <c r="G3180" s="646">
        <v>895</v>
      </c>
      <c r="H3180" s="700">
        <v>2421</v>
      </c>
      <c r="I3180" s="646"/>
      <c r="J3180" s="646" t="s">
        <v>4149</v>
      </c>
      <c r="K3180" s="619" t="s">
        <v>841</v>
      </c>
      <c r="L3180" s="619">
        <v>105</v>
      </c>
      <c r="M3180" s="620">
        <v>100</v>
      </c>
      <c r="N3180" s="619"/>
      <c r="O3180" s="619">
        <v>18</v>
      </c>
      <c r="P3180" s="619" t="s">
        <v>760</v>
      </c>
      <c r="Q3180" s="618"/>
      <c r="R3180" s="618"/>
      <c r="S3180" s="621" t="s">
        <v>3381</v>
      </c>
      <c r="T3180" s="619" t="s">
        <v>3409</v>
      </c>
    </row>
    <row r="3181" spans="1:20">
      <c r="A3181" s="701">
        <v>1151105</v>
      </c>
      <c r="B3181" s="700" t="s">
        <v>4150</v>
      </c>
      <c r="C3181" s="644"/>
      <c r="D3181" s="644" t="s">
        <v>803</v>
      </c>
      <c r="E3181" s="702" t="s">
        <v>1009</v>
      </c>
      <c r="F3181" s="695" t="s">
        <v>1010</v>
      </c>
      <c r="G3181" s="696">
        <v>115</v>
      </c>
      <c r="H3181" s="648">
        <v>1100</v>
      </c>
      <c r="I3181" s="646"/>
      <c r="J3181" s="646" t="s">
        <v>1009</v>
      </c>
      <c r="K3181" s="618"/>
      <c r="L3181" s="619">
        <v>86</v>
      </c>
      <c r="M3181" s="620">
        <v>81</v>
      </c>
      <c r="N3181" s="619"/>
      <c r="O3181" s="619">
        <v>7</v>
      </c>
      <c r="P3181" s="619" t="s">
        <v>760</v>
      </c>
      <c r="Q3181" s="662" t="s">
        <v>1002</v>
      </c>
      <c r="R3181" s="618"/>
      <c r="S3181" s="621" t="s">
        <v>1004</v>
      </c>
      <c r="T3181" s="619" t="s">
        <v>1009</v>
      </c>
    </row>
    <row r="3182" spans="1:20">
      <c r="A3182" s="701">
        <v>1151110</v>
      </c>
      <c r="B3182" s="700" t="s">
        <v>4150</v>
      </c>
      <c r="C3182" s="644"/>
      <c r="D3182" s="644" t="s">
        <v>803</v>
      </c>
      <c r="E3182" s="702" t="s">
        <v>1009</v>
      </c>
      <c r="F3182" s="695" t="s">
        <v>1010</v>
      </c>
      <c r="G3182" s="696">
        <v>115</v>
      </c>
      <c r="H3182" s="648">
        <v>1100</v>
      </c>
      <c r="I3182" s="646"/>
      <c r="J3182" s="646" t="s">
        <v>1009</v>
      </c>
      <c r="K3182" s="618"/>
      <c r="L3182" s="619">
        <v>86</v>
      </c>
      <c r="M3182" s="620">
        <v>81</v>
      </c>
      <c r="N3182" s="619"/>
      <c r="O3182" s="619">
        <v>7</v>
      </c>
      <c r="P3182" s="619" t="s">
        <v>760</v>
      </c>
      <c r="Q3182" s="662" t="s">
        <v>1002</v>
      </c>
      <c r="R3182" s="618"/>
      <c r="S3182" s="621" t="s">
        <v>1004</v>
      </c>
      <c r="T3182" s="619" t="s">
        <v>1009</v>
      </c>
    </row>
    <row r="3183" spans="1:20">
      <c r="A3183" s="701">
        <v>1151130</v>
      </c>
      <c r="B3183" s="700" t="s">
        <v>4150</v>
      </c>
      <c r="C3183" s="644"/>
      <c r="D3183" s="644" t="s">
        <v>803</v>
      </c>
      <c r="E3183" s="702" t="s">
        <v>1009</v>
      </c>
      <c r="F3183" s="695" t="s">
        <v>1010</v>
      </c>
      <c r="G3183" s="696">
        <v>115</v>
      </c>
      <c r="H3183" s="648">
        <v>1100</v>
      </c>
      <c r="I3183" s="646"/>
      <c r="J3183" s="646" t="s">
        <v>1009</v>
      </c>
      <c r="K3183" s="618"/>
      <c r="L3183" s="619">
        <v>86</v>
      </c>
      <c r="M3183" s="620">
        <v>81</v>
      </c>
      <c r="N3183" s="619"/>
      <c r="O3183" s="619">
        <v>7</v>
      </c>
      <c r="P3183" s="619" t="s">
        <v>760</v>
      </c>
      <c r="Q3183" s="662" t="s">
        <v>1002</v>
      </c>
      <c r="R3183" s="618"/>
      <c r="S3183" s="621" t="s">
        <v>1004</v>
      </c>
      <c r="T3183" s="619" t="s">
        <v>1009</v>
      </c>
    </row>
    <row r="3184" spans="1:20">
      <c r="A3184" s="701">
        <v>6101105</v>
      </c>
      <c r="B3184" s="700" t="s">
        <v>4150</v>
      </c>
      <c r="C3184" s="644"/>
      <c r="D3184" s="644" t="s">
        <v>775</v>
      </c>
      <c r="E3184" s="702" t="s">
        <v>1044</v>
      </c>
      <c r="F3184" s="695" t="s">
        <v>1045</v>
      </c>
      <c r="G3184" s="696">
        <v>610</v>
      </c>
      <c r="H3184" s="648">
        <v>1100</v>
      </c>
      <c r="I3184" s="646"/>
      <c r="J3184" s="646" t="s">
        <v>1044</v>
      </c>
      <c r="K3184" s="618"/>
      <c r="L3184" s="619">
        <v>122</v>
      </c>
      <c r="M3184" s="620">
        <v>113</v>
      </c>
      <c r="N3184" s="619"/>
      <c r="O3184" s="619">
        <v>7</v>
      </c>
      <c r="P3184" s="619" t="s">
        <v>760</v>
      </c>
      <c r="Q3184" s="662" t="s">
        <v>1043</v>
      </c>
      <c r="R3184" s="618"/>
      <c r="S3184" s="621" t="s">
        <v>1004</v>
      </c>
      <c r="T3184" s="619" t="s">
        <v>39</v>
      </c>
    </row>
    <row r="3185" spans="1:20">
      <c r="A3185" s="701">
        <v>6101130</v>
      </c>
      <c r="B3185" s="700" t="s">
        <v>4150</v>
      </c>
      <c r="C3185" s="644"/>
      <c r="D3185" s="644" t="s">
        <v>775</v>
      </c>
      <c r="E3185" s="702" t="s">
        <v>1044</v>
      </c>
      <c r="F3185" s="695" t="s">
        <v>1045</v>
      </c>
      <c r="G3185" s="696">
        <v>610</v>
      </c>
      <c r="H3185" s="648">
        <v>1100</v>
      </c>
      <c r="I3185" s="646"/>
      <c r="J3185" s="646" t="s">
        <v>1044</v>
      </c>
      <c r="K3185" s="618"/>
      <c r="L3185" s="619">
        <v>122</v>
      </c>
      <c r="M3185" s="620">
        <v>113</v>
      </c>
      <c r="N3185" s="619"/>
      <c r="O3185" s="619">
        <v>7</v>
      </c>
      <c r="P3185" s="619" t="s">
        <v>760</v>
      </c>
      <c r="Q3185" s="662" t="s">
        <v>1043</v>
      </c>
      <c r="R3185" s="618"/>
      <c r="S3185" s="621" t="s">
        <v>1004</v>
      </c>
      <c r="T3185" s="619" t="s">
        <v>39</v>
      </c>
    </row>
    <row r="3186" spans="1:20">
      <c r="A3186" s="701">
        <v>6102182</v>
      </c>
      <c r="B3186" s="700" t="s">
        <v>4150</v>
      </c>
      <c r="C3186" s="644"/>
      <c r="D3186" s="644"/>
      <c r="E3186" s="702" t="s">
        <v>1140</v>
      </c>
      <c r="F3186" s="649" t="s">
        <v>2190</v>
      </c>
      <c r="G3186" s="703">
        <v>610</v>
      </c>
      <c r="H3186" s="653">
        <v>2190</v>
      </c>
      <c r="I3186" s="646"/>
      <c r="J3186" s="646" t="s">
        <v>1140</v>
      </c>
      <c r="K3186" s="618"/>
      <c r="L3186" s="619">
        <v>122</v>
      </c>
      <c r="M3186" s="620">
        <v>113</v>
      </c>
      <c r="N3186" s="619"/>
      <c r="O3186" s="619">
        <v>13</v>
      </c>
      <c r="P3186" s="619" t="s">
        <v>760</v>
      </c>
      <c r="Q3186" s="662" t="s">
        <v>1043</v>
      </c>
      <c r="R3186" s="618"/>
      <c r="S3186" s="621" t="s">
        <v>2167</v>
      </c>
      <c r="T3186" s="619" t="s">
        <v>39</v>
      </c>
    </row>
    <row r="3187" spans="1:20">
      <c r="A3187" s="701">
        <v>6102184</v>
      </c>
      <c r="B3187" s="700" t="s">
        <v>4150</v>
      </c>
      <c r="C3187" s="644"/>
      <c r="D3187" s="644"/>
      <c r="E3187" s="702" t="s">
        <v>1140</v>
      </c>
      <c r="F3187" s="649" t="s">
        <v>2190</v>
      </c>
      <c r="G3187" s="703">
        <v>610</v>
      </c>
      <c r="H3187" s="653">
        <v>2190</v>
      </c>
      <c r="I3187" s="646"/>
      <c r="J3187" s="646" t="s">
        <v>1140</v>
      </c>
      <c r="K3187" s="618"/>
      <c r="L3187" s="619">
        <v>122</v>
      </c>
      <c r="M3187" s="620">
        <v>113</v>
      </c>
      <c r="N3187" s="619"/>
      <c r="O3187" s="619">
        <v>13</v>
      </c>
      <c r="P3187" s="619" t="s">
        <v>760</v>
      </c>
      <c r="Q3187" s="662" t="s">
        <v>1043</v>
      </c>
      <c r="R3187" s="618"/>
      <c r="S3187" s="621" t="s">
        <v>2167</v>
      </c>
      <c r="T3187" s="619" t="s">
        <v>39</v>
      </c>
    </row>
    <row r="3188" spans="1:20">
      <c r="A3188" s="701">
        <v>6102185</v>
      </c>
      <c r="B3188" s="700" t="s">
        <v>4150</v>
      </c>
      <c r="C3188" s="644"/>
      <c r="D3188" s="644"/>
      <c r="E3188" s="702" t="s">
        <v>1140</v>
      </c>
      <c r="F3188" s="649" t="s">
        <v>2190</v>
      </c>
      <c r="G3188" s="703">
        <v>610</v>
      </c>
      <c r="H3188" s="653">
        <v>2190</v>
      </c>
      <c r="I3188" s="646"/>
      <c r="J3188" s="646" t="s">
        <v>1140</v>
      </c>
      <c r="K3188" s="618"/>
      <c r="L3188" s="619">
        <v>122</v>
      </c>
      <c r="M3188" s="620">
        <v>113</v>
      </c>
      <c r="N3188" s="619"/>
      <c r="O3188" s="619">
        <v>13</v>
      </c>
      <c r="P3188" s="619" t="s">
        <v>760</v>
      </c>
      <c r="Q3188" s="662" t="s">
        <v>1043</v>
      </c>
      <c r="R3188" s="618"/>
      <c r="S3188" s="621" t="s">
        <v>2167</v>
      </c>
      <c r="T3188" s="619" t="s">
        <v>39</v>
      </c>
    </row>
    <row r="3189" spans="1:20">
      <c r="A3189" s="704"/>
      <c r="B3189" s="619"/>
      <c r="C3189" s="623"/>
      <c r="D3189" s="623"/>
      <c r="E3189" s="623"/>
      <c r="F3189" s="618"/>
      <c r="G3189" s="619"/>
      <c r="H3189" s="623"/>
      <c r="I3189" s="618"/>
      <c r="J3189" s="618"/>
      <c r="K3189" s="618"/>
      <c r="L3189" s="618"/>
      <c r="M3189" s="618"/>
      <c r="N3189" s="618"/>
      <c r="O3189" s="618"/>
      <c r="P3189" s="618"/>
      <c r="Q3189" s="618"/>
      <c r="R3189" s="618"/>
      <c r="S3189" s="621"/>
      <c r="T3189" s="618"/>
    </row>
    <row r="3190" spans="1:20">
      <c r="A3190" s="704"/>
      <c r="B3190" s="619"/>
      <c r="C3190" s="623"/>
      <c r="D3190" s="623"/>
      <c r="E3190" s="623"/>
      <c r="F3190" s="618"/>
      <c r="G3190" s="619"/>
      <c r="H3190" s="623"/>
      <c r="I3190" s="618"/>
      <c r="J3190" s="618"/>
      <c r="K3190" s="618"/>
      <c r="L3190" s="618"/>
      <c r="M3190" s="618"/>
      <c r="N3190" s="618"/>
      <c r="O3190" s="618"/>
      <c r="P3190" s="618"/>
      <c r="Q3190" s="618"/>
      <c r="R3190" s="618"/>
      <c r="S3190" s="621"/>
      <c r="T3190" s="618"/>
    </row>
    <row r="3191" spans="1:20">
      <c r="A3191" s="705"/>
      <c r="B3191" s="619"/>
      <c r="C3191" s="623"/>
      <c r="D3191" s="623"/>
      <c r="E3191" s="623"/>
      <c r="F3191" s="618"/>
      <c r="G3191" s="619"/>
      <c r="H3191" s="623"/>
      <c r="I3191" s="618"/>
      <c r="J3191" s="618"/>
      <c r="K3191" s="618"/>
      <c r="L3191" s="618"/>
      <c r="M3191" s="618"/>
      <c r="N3191" s="618"/>
      <c r="O3191" s="618"/>
      <c r="P3191" s="618"/>
      <c r="Q3191" s="618"/>
      <c r="R3191" s="618"/>
      <c r="S3191" s="621"/>
      <c r="T3191" s="618"/>
    </row>
    <row r="3192" spans="1:20">
      <c r="A3192" s="705"/>
      <c r="B3192" s="619"/>
      <c r="C3192" s="623"/>
      <c r="D3192" s="623"/>
      <c r="E3192" s="623"/>
      <c r="F3192" s="618"/>
      <c r="G3192" s="619"/>
      <c r="H3192" s="623"/>
      <c r="I3192" s="618"/>
      <c r="J3192" s="618"/>
      <c r="K3192" s="618"/>
      <c r="L3192" s="618"/>
      <c r="M3192" s="618"/>
      <c r="N3192" s="618"/>
      <c r="O3192" s="618"/>
      <c r="P3192" s="618"/>
      <c r="Q3192" s="618"/>
      <c r="R3192" s="618"/>
      <c r="S3192" s="621"/>
      <c r="T3192" s="618"/>
    </row>
    <row r="3193" spans="1:20">
      <c r="A3193" s="705"/>
      <c r="B3193" s="619" t="s">
        <v>740</v>
      </c>
      <c r="C3193" s="623"/>
      <c r="D3193" s="623"/>
      <c r="E3193" s="623"/>
      <c r="F3193" s="618"/>
      <c r="G3193" s="619" t="s">
        <v>740</v>
      </c>
      <c r="H3193" s="623"/>
      <c r="I3193" s="618"/>
      <c r="J3193" s="618"/>
      <c r="K3193" s="618"/>
      <c r="L3193" s="618"/>
      <c r="M3193" s="618"/>
      <c r="N3193" s="618"/>
      <c r="O3193" s="618"/>
      <c r="P3193" s="618"/>
      <c r="Q3193" s="618"/>
      <c r="R3193" s="618"/>
      <c r="S3193" s="621"/>
      <c r="T3193" s="618"/>
    </row>
    <row r="3194" spans="1:20">
      <c r="A3194" s="705"/>
      <c r="B3194" s="685"/>
      <c r="C3194" s="770" t="s">
        <v>4151</v>
      </c>
      <c r="D3194" s="771"/>
      <c r="E3194" s="623"/>
      <c r="F3194" s="618"/>
      <c r="G3194" s="706"/>
      <c r="H3194" s="623"/>
      <c r="I3194" s="618"/>
      <c r="J3194" s="618"/>
      <c r="K3194" s="618"/>
      <c r="L3194" s="618"/>
      <c r="M3194" s="618"/>
      <c r="N3194" s="618"/>
      <c r="O3194" s="618"/>
      <c r="P3194" s="618"/>
      <c r="Q3194" s="618"/>
      <c r="R3194" s="618"/>
      <c r="S3194" s="621"/>
      <c r="T3194" s="618"/>
    </row>
    <row r="3195" spans="1:20">
      <c r="A3195" s="705">
        <v>1011000</v>
      </c>
      <c r="B3195" s="685"/>
      <c r="C3195" s="629">
        <v>1</v>
      </c>
      <c r="D3195" s="623"/>
      <c r="E3195" s="623" t="s">
        <v>4152</v>
      </c>
      <c r="F3195" s="707" t="s">
        <v>4153</v>
      </c>
      <c r="G3195" s="708" t="s">
        <v>4154</v>
      </c>
      <c r="H3195" s="623"/>
      <c r="I3195" s="618"/>
      <c r="J3195" s="619" t="s">
        <v>4152</v>
      </c>
      <c r="K3195" s="618"/>
      <c r="L3195" s="618"/>
      <c r="M3195" s="619" t="s">
        <v>4155</v>
      </c>
      <c r="N3195" s="618"/>
      <c r="O3195" s="618"/>
      <c r="P3195" s="618"/>
      <c r="Q3195" s="618"/>
      <c r="R3195" s="618"/>
      <c r="S3195" s="621"/>
      <c r="T3195" s="618"/>
    </row>
    <row r="3196" spans="1:20">
      <c r="A3196" s="705">
        <v>1012000</v>
      </c>
      <c r="B3196" s="685"/>
      <c r="C3196" s="629"/>
      <c r="D3196" s="623"/>
      <c r="E3196" s="671" t="s">
        <v>4156</v>
      </c>
      <c r="F3196" s="707" t="s">
        <v>4153</v>
      </c>
      <c r="G3196" s="708"/>
      <c r="H3196" s="623"/>
      <c r="I3196" s="618"/>
      <c r="J3196" s="619" t="s">
        <v>4156</v>
      </c>
      <c r="K3196" s="618"/>
      <c r="L3196" s="618"/>
      <c r="M3196" s="619" t="s">
        <v>4157</v>
      </c>
      <c r="N3196" s="618"/>
      <c r="O3196" s="618"/>
      <c r="P3196" s="618"/>
      <c r="Q3196" s="618"/>
      <c r="R3196" s="618"/>
      <c r="S3196" s="621"/>
      <c r="T3196" s="618"/>
    </row>
    <row r="3197" spans="1:20">
      <c r="A3197" s="705">
        <v>1013000</v>
      </c>
      <c r="B3197" s="685"/>
      <c r="C3197" s="629"/>
      <c r="D3197" s="623"/>
      <c r="E3197" s="671" t="s">
        <v>4156</v>
      </c>
      <c r="F3197" s="707" t="s">
        <v>4153</v>
      </c>
      <c r="G3197" s="708"/>
      <c r="H3197" s="623"/>
      <c r="I3197" s="618"/>
      <c r="J3197" s="619" t="s">
        <v>4156</v>
      </c>
      <c r="K3197" s="618"/>
      <c r="L3197" s="618"/>
      <c r="M3197" s="619" t="s">
        <v>4158</v>
      </c>
      <c r="N3197" s="618"/>
      <c r="O3197" s="618"/>
      <c r="P3197" s="618"/>
      <c r="Q3197" s="618"/>
      <c r="R3197" s="618"/>
      <c r="S3197" s="621"/>
      <c r="T3197" s="618"/>
    </row>
    <row r="3198" spans="1:20">
      <c r="A3198" s="705">
        <v>1014000</v>
      </c>
      <c r="B3198" s="685"/>
      <c r="C3198" s="629"/>
      <c r="D3198" s="623"/>
      <c r="E3198" s="671" t="s">
        <v>4156</v>
      </c>
      <c r="F3198" s="707" t="s">
        <v>4153</v>
      </c>
      <c r="G3198" s="708"/>
      <c r="H3198" s="623"/>
      <c r="I3198" s="618"/>
      <c r="J3198" s="619" t="s">
        <v>4156</v>
      </c>
      <c r="K3198" s="618"/>
      <c r="L3198" s="618"/>
      <c r="M3198" s="619" t="s">
        <v>4159</v>
      </c>
      <c r="N3198" s="618"/>
      <c r="O3198" s="618"/>
      <c r="P3198" s="618"/>
      <c r="Q3198" s="618"/>
      <c r="R3198" s="618"/>
      <c r="S3198" s="621"/>
      <c r="T3198" s="618"/>
    </row>
    <row r="3199" spans="1:20">
      <c r="A3199" s="705">
        <v>1015000</v>
      </c>
      <c r="B3199" s="685"/>
      <c r="C3199" s="629"/>
      <c r="D3199" s="623"/>
      <c r="E3199" s="671" t="s">
        <v>4156</v>
      </c>
      <c r="F3199" s="707" t="s">
        <v>4153</v>
      </c>
      <c r="G3199" s="708"/>
      <c r="H3199" s="623"/>
      <c r="I3199" s="618"/>
      <c r="J3199" s="619" t="s">
        <v>4156</v>
      </c>
      <c r="K3199" s="618"/>
      <c r="L3199" s="618"/>
      <c r="M3199" s="619" t="s">
        <v>4160</v>
      </c>
      <c r="N3199" s="618"/>
      <c r="O3199" s="618"/>
      <c r="P3199" s="618"/>
      <c r="Q3199" s="618"/>
      <c r="R3199" s="618"/>
      <c r="S3199" s="621"/>
      <c r="T3199" s="618"/>
    </row>
    <row r="3200" spans="1:20">
      <c r="A3200" s="705">
        <v>1016000</v>
      </c>
      <c r="B3200" s="685"/>
      <c r="C3200" s="629"/>
      <c r="D3200" s="623"/>
      <c r="E3200" s="671" t="s">
        <v>4156</v>
      </c>
      <c r="F3200" s="707" t="s">
        <v>4153</v>
      </c>
      <c r="G3200" s="708"/>
      <c r="H3200" s="623"/>
      <c r="I3200" s="618"/>
      <c r="J3200" s="619" t="s">
        <v>4156</v>
      </c>
      <c r="K3200" s="618"/>
      <c r="L3200" s="618"/>
      <c r="M3200" s="619" t="s">
        <v>4161</v>
      </c>
      <c r="N3200" s="618"/>
      <c r="O3200" s="618"/>
      <c r="P3200" s="618"/>
      <c r="Q3200" s="618"/>
      <c r="R3200" s="618"/>
      <c r="S3200" s="621"/>
      <c r="T3200" s="618"/>
    </row>
    <row r="3201" spans="1:19">
      <c r="A3201" s="705">
        <v>1017000</v>
      </c>
      <c r="B3201" s="685"/>
      <c r="C3201" s="629"/>
      <c r="D3201" s="623"/>
      <c r="E3201" s="671" t="s">
        <v>4156</v>
      </c>
      <c r="F3201" s="707" t="s">
        <v>4153</v>
      </c>
      <c r="G3201" s="708"/>
      <c r="H3201" s="623"/>
      <c r="I3201" s="618"/>
      <c r="J3201" s="619" t="s">
        <v>4156</v>
      </c>
      <c r="K3201" s="618"/>
      <c r="L3201" s="618"/>
      <c r="M3201" s="619" t="s">
        <v>4162</v>
      </c>
      <c r="N3201" s="618"/>
      <c r="O3201" s="618"/>
      <c r="P3201" s="618"/>
      <c r="Q3201" s="618"/>
      <c r="R3201" s="618"/>
      <c r="S3201" s="621"/>
    </row>
    <row r="3202" spans="1:19">
      <c r="A3202" s="705">
        <v>1018000</v>
      </c>
      <c r="B3202" s="685"/>
      <c r="C3202" s="629"/>
      <c r="D3202" s="623"/>
      <c r="E3202" s="671" t="s">
        <v>4156</v>
      </c>
      <c r="F3202" s="707" t="s">
        <v>4153</v>
      </c>
      <c r="G3202" s="708"/>
      <c r="H3202" s="623"/>
      <c r="I3202" s="618"/>
      <c r="J3202" s="619" t="s">
        <v>4156</v>
      </c>
      <c r="K3202" s="618"/>
      <c r="L3202" s="618"/>
      <c r="M3202" s="619" t="s">
        <v>4163</v>
      </c>
      <c r="N3202" s="618"/>
      <c r="O3202" s="618"/>
      <c r="P3202" s="618"/>
      <c r="Q3202" s="618"/>
      <c r="R3202" s="618"/>
      <c r="S3202" s="621"/>
    </row>
    <row r="3203" spans="1:19">
      <c r="A3203" s="709">
        <v>1022000</v>
      </c>
      <c r="B3203" s="618"/>
      <c r="C3203" s="629"/>
      <c r="D3203" s="623"/>
      <c r="E3203" s="671" t="s">
        <v>4156</v>
      </c>
      <c r="F3203" s="707" t="s">
        <v>4153</v>
      </c>
      <c r="G3203" s="708"/>
      <c r="H3203" s="623"/>
      <c r="I3203" s="618"/>
      <c r="J3203" s="619" t="s">
        <v>4156</v>
      </c>
      <c r="K3203" s="618"/>
      <c r="L3203" s="618"/>
      <c r="M3203" s="619" t="s">
        <v>4163</v>
      </c>
      <c r="N3203" s="618"/>
      <c r="O3203" s="618"/>
      <c r="P3203" s="618"/>
      <c r="Q3203" s="618"/>
      <c r="R3203" s="618"/>
      <c r="S3203" s="621"/>
    </row>
    <row r="3204" spans="1:19">
      <c r="A3204" s="709">
        <v>1021000</v>
      </c>
      <c r="B3204" s="618"/>
      <c r="C3204" s="629"/>
      <c r="D3204" s="623"/>
      <c r="E3204" s="671" t="s">
        <v>4156</v>
      </c>
      <c r="F3204" s="707" t="s">
        <v>4153</v>
      </c>
      <c r="G3204" s="708"/>
      <c r="H3204" s="623"/>
      <c r="I3204" s="618"/>
      <c r="J3204" s="619" t="s">
        <v>4156</v>
      </c>
      <c r="K3204" s="618"/>
      <c r="L3204" s="618"/>
      <c r="M3204" s="619" t="s">
        <v>4163</v>
      </c>
      <c r="N3204" s="618"/>
      <c r="O3204" s="618"/>
      <c r="P3204" s="618"/>
      <c r="Q3204" s="618"/>
      <c r="R3204" s="618"/>
      <c r="S3204" s="621"/>
    </row>
    <row r="3205" spans="1:19">
      <c r="A3205" s="709">
        <v>1019000</v>
      </c>
      <c r="B3205" s="618"/>
      <c r="C3205" s="629"/>
      <c r="D3205" s="623"/>
      <c r="E3205" s="671" t="s">
        <v>4156</v>
      </c>
      <c r="F3205" s="707" t="s">
        <v>4153</v>
      </c>
      <c r="G3205" s="708"/>
      <c r="H3205" s="623"/>
      <c r="I3205" s="618"/>
      <c r="J3205" s="619" t="s">
        <v>4156</v>
      </c>
      <c r="K3205" s="618"/>
      <c r="L3205" s="618"/>
      <c r="M3205" s="619" t="s">
        <v>4163</v>
      </c>
      <c r="N3205" s="618"/>
      <c r="O3205" s="618"/>
      <c r="P3205" s="618"/>
      <c r="Q3205" s="618"/>
      <c r="R3205" s="618"/>
      <c r="S3205" s="621"/>
    </row>
    <row r="3206" spans="1:19">
      <c r="A3206" s="710">
        <v>1019999</v>
      </c>
      <c r="B3206" s="618"/>
      <c r="C3206" s="629"/>
      <c r="D3206" s="623"/>
      <c r="E3206" s="671" t="s">
        <v>4156</v>
      </c>
      <c r="F3206" s="707" t="s">
        <v>4153</v>
      </c>
      <c r="G3206" s="708"/>
      <c r="H3206" s="623"/>
      <c r="I3206" s="618"/>
      <c r="J3206" s="619" t="s">
        <v>4156</v>
      </c>
      <c r="K3206" s="618"/>
      <c r="L3206" s="618"/>
      <c r="M3206" s="619" t="s">
        <v>4163</v>
      </c>
      <c r="N3206" s="618"/>
      <c r="O3206" s="618"/>
      <c r="P3206" s="618"/>
      <c r="Q3206" s="618"/>
      <c r="R3206" s="618"/>
      <c r="S3206" s="621"/>
    </row>
    <row r="3207" spans="1:19">
      <c r="A3207" s="710">
        <v>1011010</v>
      </c>
      <c r="B3207" s="618"/>
      <c r="C3207" s="629"/>
      <c r="D3207" s="623"/>
      <c r="E3207" s="671" t="s">
        <v>4156</v>
      </c>
      <c r="F3207" s="707" t="s">
        <v>4153</v>
      </c>
      <c r="G3207" s="708"/>
      <c r="H3207" s="623"/>
      <c r="I3207" s="618"/>
      <c r="J3207" s="619" t="s">
        <v>4156</v>
      </c>
      <c r="K3207" s="618"/>
      <c r="L3207" s="618"/>
      <c r="M3207" s="619" t="s">
        <v>4163</v>
      </c>
      <c r="N3207" s="618"/>
      <c r="O3207" s="618"/>
      <c r="P3207" s="618"/>
      <c r="Q3207" s="618"/>
      <c r="R3207" s="618"/>
      <c r="S3207" s="621"/>
    </row>
    <row r="3208" spans="1:19">
      <c r="A3208" s="710">
        <v>1011020</v>
      </c>
      <c r="B3208" s="618"/>
      <c r="C3208" s="629"/>
      <c r="D3208" s="623"/>
      <c r="E3208" s="671" t="s">
        <v>4156</v>
      </c>
      <c r="F3208" s="707" t="s">
        <v>4153</v>
      </c>
      <c r="G3208" s="708"/>
      <c r="H3208" s="623"/>
      <c r="I3208" s="618"/>
      <c r="J3208" s="619" t="s">
        <v>4156</v>
      </c>
      <c r="K3208" s="618"/>
      <c r="L3208" s="618"/>
      <c r="M3208" s="619" t="s">
        <v>4163</v>
      </c>
      <c r="N3208" s="618"/>
      <c r="O3208" s="618"/>
      <c r="P3208" s="618"/>
      <c r="Q3208" s="618"/>
      <c r="R3208" s="618"/>
      <c r="S3208" s="621"/>
    </row>
    <row r="3209" spans="1:19">
      <c r="A3209" s="710" t="s">
        <v>4164</v>
      </c>
      <c r="B3209" s="618"/>
      <c r="C3209" s="629"/>
      <c r="D3209" s="623"/>
      <c r="E3209" s="671" t="s">
        <v>4156</v>
      </c>
      <c r="F3209" s="707" t="s">
        <v>4153</v>
      </c>
      <c r="G3209" s="708"/>
      <c r="H3209" s="623"/>
      <c r="I3209" s="618"/>
      <c r="J3209" s="619" t="s">
        <v>4156</v>
      </c>
      <c r="K3209" s="618"/>
      <c r="L3209" s="618"/>
      <c r="M3209" s="619" t="s">
        <v>4163</v>
      </c>
      <c r="N3209" s="618"/>
      <c r="O3209" s="618"/>
      <c r="P3209" s="618"/>
      <c r="Q3209" s="618"/>
      <c r="R3209" s="618"/>
      <c r="S3209" s="621"/>
    </row>
    <row r="3210" spans="1:19">
      <c r="A3210" s="710" t="s">
        <v>4165</v>
      </c>
      <c r="B3210" s="618"/>
      <c r="C3210" s="629"/>
      <c r="D3210" s="623"/>
      <c r="E3210" s="671" t="s">
        <v>4156</v>
      </c>
      <c r="F3210" s="707" t="s">
        <v>4153</v>
      </c>
      <c r="G3210" s="708"/>
      <c r="H3210" s="623"/>
      <c r="I3210" s="618"/>
      <c r="J3210" s="619" t="s">
        <v>4156</v>
      </c>
      <c r="K3210" s="618"/>
      <c r="L3210" s="618"/>
      <c r="M3210" s="619" t="s">
        <v>4163</v>
      </c>
      <c r="N3210" s="618"/>
      <c r="O3210" s="618"/>
      <c r="P3210" s="618"/>
      <c r="Q3210" s="618"/>
      <c r="R3210" s="618"/>
      <c r="S3210" s="621"/>
    </row>
    <row r="3211" spans="1:19">
      <c r="A3211" s="710" t="s">
        <v>4166</v>
      </c>
      <c r="B3211" s="618"/>
      <c r="C3211" s="629"/>
      <c r="D3211" s="623"/>
      <c r="E3211" s="671" t="s">
        <v>4156</v>
      </c>
      <c r="F3211" s="707" t="s">
        <v>4153</v>
      </c>
      <c r="G3211" s="708"/>
      <c r="H3211" s="623"/>
      <c r="I3211" s="618"/>
      <c r="J3211" s="619" t="s">
        <v>4156</v>
      </c>
      <c r="K3211" s="618"/>
      <c r="L3211" s="618"/>
      <c r="M3211" s="619" t="s">
        <v>4163</v>
      </c>
      <c r="N3211" s="618"/>
      <c r="O3211" s="618"/>
      <c r="P3211" s="618"/>
      <c r="Q3211" s="618"/>
      <c r="R3211" s="618"/>
      <c r="S3211" s="621"/>
    </row>
    <row r="3212" spans="1:19">
      <c r="A3212" s="710" t="s">
        <v>4167</v>
      </c>
      <c r="B3212" s="618"/>
      <c r="C3212" s="629"/>
      <c r="D3212" s="623"/>
      <c r="E3212" s="671" t="s">
        <v>4156</v>
      </c>
      <c r="F3212" s="707" t="s">
        <v>4153</v>
      </c>
      <c r="G3212" s="708"/>
      <c r="H3212" s="623"/>
      <c r="I3212" s="618"/>
      <c r="J3212" s="619" t="s">
        <v>4156</v>
      </c>
      <c r="K3212" s="618"/>
      <c r="L3212" s="618"/>
      <c r="M3212" s="619" t="s">
        <v>4163</v>
      </c>
      <c r="N3212" s="618"/>
      <c r="O3212" s="618"/>
      <c r="P3212" s="618"/>
      <c r="Q3212" s="618"/>
      <c r="R3212" s="618"/>
      <c r="S3212" s="621"/>
    </row>
    <row r="3213" spans="1:19">
      <c r="A3213" s="710" t="s">
        <v>4168</v>
      </c>
      <c r="B3213" s="618"/>
      <c r="C3213" s="629"/>
      <c r="D3213" s="623"/>
      <c r="E3213" s="671" t="s">
        <v>4156</v>
      </c>
      <c r="F3213" s="707" t="s">
        <v>4153</v>
      </c>
      <c r="G3213" s="708"/>
      <c r="H3213" s="623"/>
      <c r="I3213" s="618"/>
      <c r="J3213" s="619" t="s">
        <v>4156</v>
      </c>
      <c r="K3213" s="618"/>
      <c r="L3213" s="618"/>
      <c r="M3213" s="619" t="s">
        <v>4163</v>
      </c>
      <c r="N3213" s="618"/>
      <c r="O3213" s="618"/>
      <c r="P3213" s="618"/>
      <c r="Q3213" s="618"/>
      <c r="R3213" s="618"/>
      <c r="S3213" s="621"/>
    </row>
    <row r="3214" spans="1:19">
      <c r="A3214" s="710">
        <v>1014002</v>
      </c>
      <c r="B3214" s="618"/>
      <c r="C3214" s="629"/>
      <c r="D3214" s="623"/>
      <c r="E3214" s="671" t="s">
        <v>4156</v>
      </c>
      <c r="F3214" s="707" t="s">
        <v>4153</v>
      </c>
      <c r="G3214" s="708"/>
      <c r="H3214" s="623"/>
      <c r="I3214" s="618"/>
      <c r="J3214" s="619" t="s">
        <v>4156</v>
      </c>
      <c r="K3214" s="618"/>
      <c r="L3214" s="618"/>
      <c r="M3214" s="619" t="s">
        <v>4163</v>
      </c>
      <c r="N3214" s="618"/>
      <c r="O3214" s="618"/>
      <c r="P3214" s="618"/>
      <c r="Q3214" s="618"/>
      <c r="R3214" s="618"/>
      <c r="S3214" s="621"/>
    </row>
    <row r="3215" spans="1:19">
      <c r="A3215" s="710">
        <v>1019998</v>
      </c>
      <c r="B3215" s="618"/>
      <c r="C3215" s="629"/>
      <c r="D3215" s="623"/>
      <c r="E3215" s="671" t="s">
        <v>4156</v>
      </c>
      <c r="F3215" s="707" t="s">
        <v>4153</v>
      </c>
      <c r="G3215" s="708"/>
      <c r="H3215" s="623"/>
      <c r="I3215" s="618"/>
      <c r="J3215" s="619" t="s">
        <v>4156</v>
      </c>
      <c r="K3215" s="618"/>
      <c r="L3215" s="618"/>
      <c r="M3215" s="619" t="s">
        <v>4163</v>
      </c>
      <c r="N3215" s="618"/>
      <c r="O3215" s="618"/>
      <c r="P3215" s="618"/>
      <c r="Q3215" s="618"/>
      <c r="R3215" s="618"/>
      <c r="S3215" s="621"/>
    </row>
    <row r="3216" spans="1:19">
      <c r="A3216" s="704">
        <v>1010000</v>
      </c>
      <c r="B3216" s="618"/>
      <c r="C3216" s="629"/>
      <c r="D3216" s="623"/>
      <c r="E3216" s="671" t="s">
        <v>4156</v>
      </c>
      <c r="F3216" s="707" t="s">
        <v>4153</v>
      </c>
      <c r="G3216" s="708"/>
      <c r="H3216" s="623"/>
      <c r="I3216" s="618"/>
      <c r="J3216" s="619" t="s">
        <v>4156</v>
      </c>
      <c r="K3216" s="618"/>
      <c r="L3216" s="618"/>
      <c r="M3216" s="619" t="s">
        <v>4169</v>
      </c>
      <c r="N3216" s="618"/>
      <c r="O3216" s="618"/>
      <c r="P3216" s="618"/>
      <c r="Q3216" s="618"/>
      <c r="R3216" s="618"/>
      <c r="S3216" s="621"/>
    </row>
    <row r="3217" spans="1:19">
      <c r="A3217" s="705"/>
      <c r="B3217" s="618"/>
      <c r="C3217" s="629"/>
      <c r="D3217" s="623"/>
      <c r="E3217" s="711"/>
      <c r="F3217" s="707"/>
      <c r="G3217" s="708"/>
      <c r="H3217" s="623"/>
      <c r="I3217" s="618"/>
      <c r="J3217" s="618"/>
      <c r="K3217" s="618"/>
      <c r="L3217" s="618"/>
      <c r="M3217" s="619"/>
      <c r="N3217" s="618"/>
      <c r="O3217" s="618"/>
      <c r="P3217" s="618"/>
      <c r="Q3217" s="618"/>
      <c r="R3217" s="618"/>
      <c r="S3217" s="621"/>
    </row>
    <row r="3218" spans="1:19">
      <c r="A3218" s="705"/>
      <c r="B3218" s="618"/>
      <c r="C3218" s="629"/>
      <c r="D3218" s="623"/>
      <c r="E3218" s="711"/>
      <c r="F3218" s="707"/>
      <c r="G3218" s="708"/>
      <c r="H3218" s="623"/>
      <c r="I3218" s="618"/>
      <c r="J3218" s="618"/>
      <c r="K3218" s="618"/>
      <c r="L3218" s="618"/>
      <c r="M3218" s="619"/>
      <c r="N3218" s="618"/>
      <c r="O3218" s="618"/>
      <c r="P3218" s="618"/>
      <c r="Q3218" s="618"/>
      <c r="R3218" s="618"/>
      <c r="S3218" s="621"/>
    </row>
    <row r="3219" spans="1:19">
      <c r="A3219" s="705"/>
      <c r="B3219" s="618"/>
      <c r="C3219" s="629"/>
      <c r="D3219" s="623"/>
      <c r="E3219" s="711"/>
      <c r="F3219" s="707"/>
      <c r="G3219" s="708"/>
      <c r="H3219" s="623"/>
      <c r="I3219" s="618"/>
      <c r="J3219" s="618"/>
      <c r="K3219" s="618"/>
      <c r="L3219" s="618"/>
      <c r="M3219" s="619"/>
      <c r="N3219" s="618"/>
      <c r="O3219" s="618"/>
      <c r="P3219" s="618"/>
      <c r="Q3219" s="618"/>
      <c r="R3219" s="618"/>
      <c r="S3219" s="621"/>
    </row>
    <row r="3220" spans="1:19">
      <c r="A3220" s="705"/>
      <c r="B3220" s="618"/>
      <c r="C3220" s="629"/>
      <c r="D3220" s="623"/>
      <c r="E3220" s="711"/>
      <c r="F3220" s="707"/>
      <c r="G3220" s="708"/>
      <c r="H3220" s="623"/>
      <c r="I3220" s="618"/>
      <c r="J3220" s="618"/>
      <c r="K3220" s="618"/>
      <c r="L3220" s="618"/>
      <c r="M3220" s="619"/>
      <c r="N3220" s="618"/>
      <c r="O3220" s="618"/>
      <c r="P3220" s="618"/>
      <c r="Q3220" s="618"/>
      <c r="R3220" s="618"/>
      <c r="S3220" s="621"/>
    </row>
    <row r="3221" spans="1:19">
      <c r="A3221" s="705"/>
      <c r="B3221" s="618"/>
      <c r="C3221" s="629"/>
      <c r="D3221" s="623"/>
      <c r="E3221" s="711"/>
      <c r="F3221" s="707"/>
      <c r="G3221" s="708"/>
      <c r="H3221" s="623"/>
      <c r="I3221" s="618"/>
      <c r="J3221" s="618"/>
      <c r="K3221" s="618"/>
      <c r="L3221" s="618"/>
      <c r="M3221" s="619"/>
      <c r="N3221" s="618"/>
      <c r="O3221" s="618"/>
      <c r="P3221" s="618"/>
      <c r="Q3221" s="618"/>
      <c r="R3221" s="618"/>
      <c r="S3221" s="621"/>
    </row>
    <row r="3222" spans="1:19">
      <c r="A3222" s="705">
        <v>1020000</v>
      </c>
      <c r="B3222" s="618"/>
      <c r="C3222" s="629"/>
      <c r="D3222" s="623"/>
      <c r="E3222" s="711" t="s">
        <v>4170</v>
      </c>
      <c r="F3222" s="707" t="s">
        <v>4153</v>
      </c>
      <c r="G3222" s="708"/>
      <c r="H3222" s="623"/>
      <c r="I3222" s="618"/>
      <c r="J3222" s="619" t="s">
        <v>4170</v>
      </c>
      <c r="K3222" s="618"/>
      <c r="L3222" s="618"/>
      <c r="M3222" s="619" t="s">
        <v>4169</v>
      </c>
      <c r="N3222" s="619" t="s">
        <v>4171</v>
      </c>
      <c r="O3222" s="618"/>
      <c r="P3222" s="618"/>
      <c r="Q3222" s="618"/>
      <c r="R3222" s="618"/>
      <c r="S3222" s="621"/>
    </row>
    <row r="3223" spans="1:19">
      <c r="A3223" s="705">
        <v>1030000</v>
      </c>
      <c r="B3223" s="618"/>
      <c r="C3223" s="629"/>
      <c r="D3223" s="623"/>
      <c r="E3223" s="711" t="s">
        <v>4172</v>
      </c>
      <c r="F3223" s="707" t="s">
        <v>4153</v>
      </c>
      <c r="G3223" s="708"/>
      <c r="H3223" s="623"/>
      <c r="I3223" s="618"/>
      <c r="J3223" s="619" t="s">
        <v>4172</v>
      </c>
      <c r="K3223" s="618"/>
      <c r="L3223" s="618"/>
      <c r="M3223" s="618"/>
      <c r="N3223" s="618"/>
      <c r="O3223" s="618"/>
      <c r="P3223" s="618"/>
      <c r="Q3223" s="618"/>
      <c r="R3223" s="618"/>
      <c r="S3223" s="621"/>
    </row>
    <row r="3224" spans="1:19">
      <c r="A3224" s="705"/>
      <c r="B3224" s="685"/>
      <c r="C3224" s="629">
        <v>2</v>
      </c>
      <c r="D3224" s="623"/>
      <c r="E3224" s="623" t="s">
        <v>4173</v>
      </c>
      <c r="F3224" s="707" t="s">
        <v>4174</v>
      </c>
      <c r="G3224" s="708" t="s">
        <v>4175</v>
      </c>
      <c r="H3224" s="623"/>
      <c r="I3224" s="618"/>
      <c r="J3224" s="618"/>
      <c r="K3224" s="618"/>
      <c r="L3224" s="618"/>
      <c r="M3224" s="618"/>
      <c r="N3224" s="618"/>
      <c r="O3224" s="618"/>
      <c r="P3224" s="618"/>
      <c r="Q3224" s="618"/>
      <c r="R3224" s="618"/>
      <c r="S3224" s="621"/>
    </row>
    <row r="3225" spans="1:19">
      <c r="A3225" s="704">
        <v>1530000</v>
      </c>
      <c r="B3225" s="685"/>
      <c r="C3225" s="629"/>
      <c r="D3225" s="623"/>
      <c r="E3225" s="711" t="s">
        <v>4171</v>
      </c>
      <c r="F3225" s="707" t="s">
        <v>4174</v>
      </c>
      <c r="G3225" s="708"/>
      <c r="H3225" s="623"/>
      <c r="I3225" s="618"/>
      <c r="J3225" s="619" t="s">
        <v>4171</v>
      </c>
      <c r="K3225" s="618"/>
      <c r="L3225" s="618"/>
      <c r="M3225" s="619" t="s">
        <v>4176</v>
      </c>
      <c r="N3225" s="619" t="s">
        <v>4171</v>
      </c>
      <c r="O3225" s="618"/>
      <c r="P3225" s="618"/>
      <c r="Q3225" s="618"/>
      <c r="R3225" s="618"/>
      <c r="S3225" s="621"/>
    </row>
    <row r="3226" spans="1:19">
      <c r="A3226" s="704">
        <v>1540000</v>
      </c>
      <c r="B3226" s="685"/>
      <c r="C3226" s="629"/>
      <c r="D3226" s="623"/>
      <c r="E3226" s="671" t="s">
        <v>4177</v>
      </c>
      <c r="F3226" s="618"/>
      <c r="G3226" s="708"/>
      <c r="H3226" s="623"/>
      <c r="I3226" s="618"/>
      <c r="J3226" s="618"/>
      <c r="K3226" s="618"/>
      <c r="L3226" s="618"/>
      <c r="M3226" s="619" t="s">
        <v>4176</v>
      </c>
      <c r="N3226" s="619" t="s">
        <v>4171</v>
      </c>
      <c r="O3226" s="618"/>
      <c r="P3226" s="618"/>
      <c r="Q3226" s="618"/>
      <c r="R3226" s="618"/>
      <c r="S3226" s="621"/>
    </row>
    <row r="3227" spans="1:19">
      <c r="A3227" s="705"/>
      <c r="B3227" s="685"/>
      <c r="C3227" s="629">
        <v>3</v>
      </c>
      <c r="D3227" s="623"/>
      <c r="E3227" s="623" t="s">
        <v>4178</v>
      </c>
      <c r="F3227" s="618"/>
      <c r="G3227" s="708" t="s">
        <v>4179</v>
      </c>
      <c r="H3227" s="623"/>
      <c r="I3227" s="618"/>
      <c r="J3227" s="618"/>
      <c r="K3227" s="618"/>
      <c r="L3227" s="618"/>
      <c r="M3227" s="618"/>
      <c r="N3227" s="618"/>
      <c r="O3227" s="618"/>
      <c r="P3227" s="618"/>
      <c r="Q3227" s="618"/>
      <c r="R3227" s="618"/>
      <c r="S3227" s="621"/>
    </row>
    <row r="3228" spans="1:19">
      <c r="A3228" s="705"/>
      <c r="B3228" s="685"/>
      <c r="C3228" s="629">
        <v>4</v>
      </c>
      <c r="D3228" s="623"/>
      <c r="E3228" s="623" t="s">
        <v>4180</v>
      </c>
      <c r="F3228" s="712" t="s">
        <v>4181</v>
      </c>
      <c r="G3228" s="713" t="s">
        <v>4182</v>
      </c>
      <c r="H3228" s="623"/>
      <c r="I3228" s="618"/>
      <c r="J3228" s="618"/>
      <c r="K3228" s="618"/>
      <c r="L3228" s="618"/>
      <c r="M3228" s="618"/>
      <c r="N3228" s="618"/>
      <c r="O3228" s="618"/>
      <c r="P3228" s="618"/>
      <c r="Q3228" s="618"/>
      <c r="R3228" s="618"/>
      <c r="S3228" s="621"/>
    </row>
    <row r="3229" spans="1:19">
      <c r="A3229" s="704">
        <v>1532000</v>
      </c>
      <c r="B3229" s="685"/>
      <c r="C3229" s="629"/>
      <c r="D3229" s="623"/>
      <c r="E3229" s="711" t="s">
        <v>4183</v>
      </c>
      <c r="F3229" s="712" t="s">
        <v>4181</v>
      </c>
      <c r="G3229" s="713"/>
      <c r="H3229" s="623"/>
      <c r="I3229" s="618"/>
      <c r="J3229" s="619" t="s">
        <v>4184</v>
      </c>
      <c r="K3229" s="618"/>
      <c r="L3229" s="618"/>
      <c r="M3229" s="619" t="s">
        <v>4176</v>
      </c>
      <c r="N3229" s="619" t="s">
        <v>4171</v>
      </c>
      <c r="O3229" s="618"/>
      <c r="P3229" s="618"/>
      <c r="Q3229" s="618"/>
      <c r="R3229" s="618"/>
      <c r="S3229" s="621"/>
    </row>
    <row r="3230" spans="1:19">
      <c r="A3230" s="705">
        <v>1810000</v>
      </c>
      <c r="B3230" s="685"/>
      <c r="C3230" s="629"/>
      <c r="D3230" s="623"/>
      <c r="E3230" s="711" t="s">
        <v>4185</v>
      </c>
      <c r="F3230" s="712" t="s">
        <v>4181</v>
      </c>
      <c r="G3230" s="713"/>
      <c r="H3230" s="623"/>
      <c r="I3230" s="618"/>
      <c r="J3230" s="619" t="s">
        <v>4185</v>
      </c>
      <c r="K3230" s="618"/>
      <c r="L3230" s="618"/>
      <c r="M3230" s="619" t="s">
        <v>4186</v>
      </c>
      <c r="N3230" s="619" t="s">
        <v>4185</v>
      </c>
      <c r="O3230" s="618"/>
      <c r="P3230" s="618"/>
      <c r="Q3230" s="618"/>
      <c r="R3230" s="618"/>
      <c r="S3230" s="621"/>
    </row>
    <row r="3231" spans="1:19">
      <c r="A3231" s="704">
        <v>1910100</v>
      </c>
      <c r="B3231" s="685"/>
      <c r="C3231" s="629"/>
      <c r="D3231" s="623"/>
      <c r="E3231" s="711" t="s">
        <v>4187</v>
      </c>
      <c r="F3231" s="712" t="s">
        <v>4181</v>
      </c>
      <c r="G3231" s="713"/>
      <c r="H3231" s="623"/>
      <c r="I3231" s="618"/>
      <c r="J3231" s="619" t="s">
        <v>4187</v>
      </c>
      <c r="K3231" s="618"/>
      <c r="L3231" s="618"/>
      <c r="M3231" s="619" t="s">
        <v>4186</v>
      </c>
      <c r="N3231" s="619" t="s">
        <v>4185</v>
      </c>
      <c r="O3231" s="618"/>
      <c r="P3231" s="618"/>
      <c r="Q3231" s="618"/>
      <c r="R3231" s="618"/>
      <c r="S3231" s="621"/>
    </row>
    <row r="3232" spans="1:19">
      <c r="A3232" s="705">
        <v>1920000</v>
      </c>
      <c r="B3232" s="685"/>
      <c r="C3232" s="629"/>
      <c r="D3232" s="623"/>
      <c r="E3232" s="711" t="s">
        <v>4188</v>
      </c>
      <c r="F3232" s="712" t="s">
        <v>4181</v>
      </c>
      <c r="G3232" s="713"/>
      <c r="H3232" s="623"/>
      <c r="I3232" s="618"/>
      <c r="J3232" s="619" t="s">
        <v>4188</v>
      </c>
      <c r="K3232" s="618"/>
      <c r="L3232" s="618"/>
      <c r="M3232" s="619" t="s">
        <v>4189</v>
      </c>
      <c r="N3232" s="619" t="s">
        <v>4190</v>
      </c>
      <c r="O3232" s="618"/>
      <c r="P3232" s="618"/>
      <c r="Q3232" s="618"/>
      <c r="R3232" s="618"/>
      <c r="S3232" s="621"/>
    </row>
    <row r="3233" spans="1:19">
      <c r="A3233" s="704">
        <v>1999900</v>
      </c>
      <c r="B3233" s="685"/>
      <c r="C3233" s="629"/>
      <c r="D3233" s="623"/>
      <c r="E3233" s="671" t="s">
        <v>4191</v>
      </c>
      <c r="F3233" s="712" t="s">
        <v>4181</v>
      </c>
      <c r="G3233" s="713"/>
      <c r="H3233" s="623"/>
      <c r="I3233" s="618"/>
      <c r="J3233" s="619" t="s">
        <v>4191</v>
      </c>
      <c r="K3233" s="618"/>
      <c r="L3233" s="618"/>
      <c r="M3233" s="619" t="s">
        <v>4192</v>
      </c>
      <c r="N3233" s="619" t="s">
        <v>4190</v>
      </c>
      <c r="O3233" s="618"/>
      <c r="P3233" s="618"/>
      <c r="Q3233" s="618"/>
      <c r="R3233" s="618"/>
      <c r="S3233" s="621"/>
    </row>
    <row r="3234" spans="1:19">
      <c r="A3234" s="704">
        <v>1999910</v>
      </c>
      <c r="B3234" s="685"/>
      <c r="C3234" s="629"/>
      <c r="D3234" s="623"/>
      <c r="E3234" s="671" t="s">
        <v>4191</v>
      </c>
      <c r="F3234" s="712" t="s">
        <v>4181</v>
      </c>
      <c r="G3234" s="713"/>
      <c r="H3234" s="623"/>
      <c r="I3234" s="618"/>
      <c r="J3234" s="619" t="s">
        <v>4191</v>
      </c>
      <c r="K3234" s="618"/>
      <c r="L3234" s="618"/>
      <c r="M3234" s="619" t="s">
        <v>4192</v>
      </c>
      <c r="N3234" s="619" t="s">
        <v>4190</v>
      </c>
      <c r="O3234" s="618"/>
      <c r="P3234" s="618"/>
      <c r="Q3234" s="618"/>
      <c r="R3234" s="618"/>
      <c r="S3234" s="621"/>
    </row>
    <row r="3235" spans="1:19">
      <c r="A3235" s="704">
        <v>1999920</v>
      </c>
      <c r="B3235" s="685"/>
      <c r="C3235" s="629"/>
      <c r="D3235" s="623"/>
      <c r="E3235" s="671" t="s">
        <v>4191</v>
      </c>
      <c r="F3235" s="712" t="s">
        <v>4181</v>
      </c>
      <c r="G3235" s="713"/>
      <c r="H3235" s="623"/>
      <c r="I3235" s="618"/>
      <c r="J3235" s="619" t="s">
        <v>4191</v>
      </c>
      <c r="K3235" s="618"/>
      <c r="L3235" s="618"/>
      <c r="M3235" s="619" t="s">
        <v>4192</v>
      </c>
      <c r="N3235" s="619" t="s">
        <v>4190</v>
      </c>
      <c r="O3235" s="618"/>
      <c r="P3235" s="618"/>
      <c r="Q3235" s="618"/>
      <c r="R3235" s="618"/>
      <c r="S3235" s="621"/>
    </row>
    <row r="3236" spans="1:19">
      <c r="A3236" s="705"/>
      <c r="B3236" s="685"/>
      <c r="C3236" s="629"/>
      <c r="D3236" s="623"/>
      <c r="E3236" s="623"/>
      <c r="F3236" s="618"/>
      <c r="G3236" s="713"/>
      <c r="H3236" s="623"/>
      <c r="I3236" s="618"/>
      <c r="J3236" s="618"/>
      <c r="K3236" s="618"/>
      <c r="L3236" s="618"/>
      <c r="M3236" s="618"/>
      <c r="N3236" s="618"/>
      <c r="O3236" s="618"/>
      <c r="P3236" s="618"/>
      <c r="Q3236" s="618"/>
      <c r="R3236" s="618"/>
      <c r="S3236" s="621"/>
    </row>
    <row r="3237" spans="1:19">
      <c r="A3237" s="705"/>
      <c r="B3237" s="685"/>
      <c r="C3237" s="629">
        <v>5</v>
      </c>
      <c r="D3237" s="623"/>
      <c r="E3237" s="623" t="s">
        <v>4190</v>
      </c>
      <c r="F3237" s="618"/>
      <c r="G3237" s="713" t="s">
        <v>4193</v>
      </c>
      <c r="H3237" s="623"/>
      <c r="I3237" s="618"/>
      <c r="J3237" s="618"/>
      <c r="K3237" s="618"/>
      <c r="L3237" s="618"/>
      <c r="M3237" s="618"/>
      <c r="N3237" s="618"/>
      <c r="O3237" s="618"/>
      <c r="P3237" s="618"/>
      <c r="Q3237" s="618"/>
      <c r="R3237" s="618"/>
      <c r="S3237" s="621"/>
    </row>
    <row r="3238" spans="1:19">
      <c r="A3238" s="705">
        <v>2410000</v>
      </c>
      <c r="B3238" s="618"/>
      <c r="C3238" s="628"/>
      <c r="D3238" s="628"/>
      <c r="E3238" s="711" t="s">
        <v>4194</v>
      </c>
      <c r="F3238" s="707" t="s">
        <v>4195</v>
      </c>
      <c r="G3238" s="714"/>
      <c r="H3238" s="623"/>
      <c r="I3238" s="618"/>
      <c r="J3238" s="619" t="s">
        <v>4194</v>
      </c>
      <c r="K3238" s="618"/>
      <c r="L3238" s="618"/>
      <c r="M3238" s="619" t="s">
        <v>4196</v>
      </c>
      <c r="N3238" s="715" t="s">
        <v>4197</v>
      </c>
      <c r="O3238" s="618"/>
      <c r="P3238" s="618"/>
      <c r="Q3238" s="618"/>
      <c r="R3238" s="618"/>
      <c r="S3238" s="621"/>
    </row>
    <row r="3239" spans="1:19">
      <c r="A3239" s="705">
        <v>2420000</v>
      </c>
      <c r="B3239" s="618"/>
      <c r="C3239" s="628"/>
      <c r="D3239" s="628"/>
      <c r="E3239" s="711" t="s">
        <v>4198</v>
      </c>
      <c r="F3239" s="707" t="s">
        <v>4195</v>
      </c>
      <c r="G3239" s="714"/>
      <c r="H3239" s="623"/>
      <c r="I3239" s="618"/>
      <c r="J3239" s="619" t="s">
        <v>4198</v>
      </c>
      <c r="K3239" s="618"/>
      <c r="L3239" s="618"/>
      <c r="M3239" s="619" t="s">
        <v>4199</v>
      </c>
      <c r="N3239" s="619" t="s">
        <v>4200</v>
      </c>
      <c r="O3239" s="618"/>
      <c r="P3239" s="618"/>
      <c r="Q3239" s="618"/>
      <c r="R3239" s="618"/>
      <c r="S3239" s="621"/>
    </row>
    <row r="3240" spans="1:19">
      <c r="A3240" s="704">
        <v>2210000</v>
      </c>
      <c r="B3240" s="618"/>
      <c r="C3240" s="628"/>
      <c r="D3240" s="628"/>
      <c r="E3240" s="672" t="s">
        <v>4201</v>
      </c>
      <c r="F3240" s="707" t="s">
        <v>4195</v>
      </c>
      <c r="G3240" s="714"/>
      <c r="H3240" s="623"/>
      <c r="I3240" s="618"/>
      <c r="J3240" s="619" t="s">
        <v>4201</v>
      </c>
      <c r="K3240" s="618"/>
      <c r="L3240" s="618"/>
      <c r="M3240" s="619" t="s">
        <v>4202</v>
      </c>
      <c r="N3240" s="715" t="s">
        <v>4197</v>
      </c>
      <c r="O3240" s="618"/>
      <c r="P3240" s="618"/>
      <c r="Q3240" s="618"/>
      <c r="R3240" s="618"/>
      <c r="S3240" s="621"/>
    </row>
    <row r="3241" spans="1:19">
      <c r="A3241" s="704">
        <v>2411000</v>
      </c>
      <c r="B3241" s="618"/>
      <c r="C3241" s="628"/>
      <c r="D3241" s="628"/>
      <c r="E3241" s="672" t="s">
        <v>4203</v>
      </c>
      <c r="F3241" s="707" t="s">
        <v>4195</v>
      </c>
      <c r="G3241" s="714"/>
      <c r="H3241" s="623"/>
      <c r="I3241" s="618"/>
      <c r="J3241" s="619" t="s">
        <v>4203</v>
      </c>
      <c r="K3241" s="618"/>
      <c r="L3241" s="618"/>
      <c r="M3241" s="619" t="s">
        <v>4196</v>
      </c>
      <c r="N3241" s="715" t="s">
        <v>4197</v>
      </c>
      <c r="O3241" s="618"/>
      <c r="P3241" s="618"/>
      <c r="Q3241" s="618"/>
      <c r="R3241" s="618"/>
      <c r="S3241" s="621"/>
    </row>
    <row r="3242" spans="1:19">
      <c r="A3242" s="704">
        <v>2412000</v>
      </c>
      <c r="B3242" s="618"/>
      <c r="C3242" s="628"/>
      <c r="D3242" s="628"/>
      <c r="E3242" s="672" t="s">
        <v>4204</v>
      </c>
      <c r="F3242" s="707" t="s">
        <v>4195</v>
      </c>
      <c r="G3242" s="714"/>
      <c r="H3242" s="623"/>
      <c r="I3242" s="618"/>
      <c r="J3242" s="619" t="s">
        <v>4204</v>
      </c>
      <c r="K3242" s="618"/>
      <c r="L3242" s="618"/>
      <c r="M3242" s="619" t="s">
        <v>4196</v>
      </c>
      <c r="N3242" s="715" t="s">
        <v>4197</v>
      </c>
      <c r="O3242" s="618"/>
      <c r="P3242" s="618"/>
      <c r="Q3242" s="618"/>
      <c r="R3242" s="618"/>
      <c r="S3242" s="621"/>
    </row>
    <row r="3243" spans="1:19">
      <c r="A3243" s="704">
        <v>2310000</v>
      </c>
      <c r="B3243" s="618"/>
      <c r="C3243" s="628"/>
      <c r="D3243" s="628"/>
      <c r="E3243" s="672" t="s">
        <v>4205</v>
      </c>
      <c r="F3243" s="707" t="s">
        <v>4195</v>
      </c>
      <c r="G3243" s="714"/>
      <c r="H3243" s="623"/>
      <c r="I3243" s="618"/>
      <c r="J3243" s="619" t="s">
        <v>4205</v>
      </c>
      <c r="K3243" s="618"/>
      <c r="L3243" s="618"/>
      <c r="M3243" s="619" t="s">
        <v>4202</v>
      </c>
      <c r="N3243" s="715" t="s">
        <v>4197</v>
      </c>
      <c r="O3243" s="618"/>
      <c r="P3243" s="618"/>
      <c r="Q3243" s="618"/>
      <c r="R3243" s="618"/>
      <c r="S3243" s="621"/>
    </row>
    <row r="3244" spans="1:19">
      <c r="A3244" s="704">
        <v>2650000</v>
      </c>
      <c r="B3244" s="618"/>
      <c r="C3244" s="628"/>
      <c r="D3244" s="628"/>
      <c r="E3244" s="672" t="s">
        <v>4206</v>
      </c>
      <c r="F3244" s="707" t="s">
        <v>4195</v>
      </c>
      <c r="G3244" s="714"/>
      <c r="H3244" s="623"/>
      <c r="I3244" s="618"/>
      <c r="J3244" s="619" t="s">
        <v>4206</v>
      </c>
      <c r="K3244" s="618"/>
      <c r="L3244" s="618"/>
      <c r="M3244" s="619" t="s">
        <v>4207</v>
      </c>
      <c r="N3244" s="715" t="s">
        <v>4197</v>
      </c>
      <c r="O3244" s="618"/>
      <c r="P3244" s="618"/>
      <c r="Q3244" s="618"/>
      <c r="R3244" s="618"/>
      <c r="S3244" s="621"/>
    </row>
    <row r="3245" spans="1:19">
      <c r="A3245" s="704">
        <v>2650001</v>
      </c>
      <c r="B3245" s="618"/>
      <c r="C3245" s="628"/>
      <c r="D3245" s="628"/>
      <c r="E3245" s="672" t="s">
        <v>4206</v>
      </c>
      <c r="F3245" s="707" t="s">
        <v>4195</v>
      </c>
      <c r="G3245" s="714"/>
      <c r="H3245" s="623"/>
      <c r="I3245" s="618"/>
      <c r="J3245" s="619" t="s">
        <v>4206</v>
      </c>
      <c r="K3245" s="618"/>
      <c r="L3245" s="618"/>
      <c r="M3245" s="619" t="s">
        <v>4207</v>
      </c>
      <c r="N3245" s="715" t="s">
        <v>4197</v>
      </c>
      <c r="O3245" s="618"/>
      <c r="P3245" s="618"/>
      <c r="Q3245" s="618"/>
      <c r="R3245" s="618"/>
      <c r="S3245" s="621"/>
    </row>
    <row r="3246" spans="1:19">
      <c r="A3246" s="704">
        <v>2650002</v>
      </c>
      <c r="B3246" s="618"/>
      <c r="C3246" s="628"/>
      <c r="D3246" s="628"/>
      <c r="E3246" s="672" t="s">
        <v>4206</v>
      </c>
      <c r="F3246" s="707" t="s">
        <v>4195</v>
      </c>
      <c r="G3246" s="714"/>
      <c r="H3246" s="623"/>
      <c r="I3246" s="618"/>
      <c r="J3246" s="619" t="s">
        <v>4206</v>
      </c>
      <c r="K3246" s="618"/>
      <c r="L3246" s="618"/>
      <c r="M3246" s="619" t="s">
        <v>4207</v>
      </c>
      <c r="N3246" s="715" t="s">
        <v>4197</v>
      </c>
      <c r="O3246" s="618"/>
      <c r="P3246" s="618"/>
      <c r="Q3246" s="618"/>
      <c r="R3246" s="618"/>
      <c r="S3246" s="621"/>
    </row>
    <row r="3247" spans="1:19">
      <c r="A3247" s="704">
        <v>2650003</v>
      </c>
      <c r="B3247" s="618"/>
      <c r="C3247" s="628"/>
      <c r="D3247" s="628"/>
      <c r="E3247" s="672" t="s">
        <v>4206</v>
      </c>
      <c r="F3247" s="707" t="s">
        <v>4195</v>
      </c>
      <c r="G3247" s="714"/>
      <c r="H3247" s="623"/>
      <c r="I3247" s="618"/>
      <c r="J3247" s="619" t="s">
        <v>4206</v>
      </c>
      <c r="K3247" s="618"/>
      <c r="L3247" s="618"/>
      <c r="M3247" s="619" t="s">
        <v>4207</v>
      </c>
      <c r="N3247" s="715" t="s">
        <v>4197</v>
      </c>
      <c r="O3247" s="618"/>
      <c r="P3247" s="618"/>
      <c r="Q3247" s="618"/>
      <c r="R3247" s="618"/>
      <c r="S3247" s="621"/>
    </row>
    <row r="3248" spans="1:19">
      <c r="A3248" s="704">
        <v>2650004</v>
      </c>
      <c r="B3248" s="618"/>
      <c r="C3248" s="628"/>
      <c r="D3248" s="628"/>
      <c r="E3248" s="672" t="s">
        <v>4206</v>
      </c>
      <c r="F3248" s="707" t="s">
        <v>4195</v>
      </c>
      <c r="G3248" s="714"/>
      <c r="H3248" s="623"/>
      <c r="I3248" s="618"/>
      <c r="J3248" s="619" t="s">
        <v>4206</v>
      </c>
      <c r="K3248" s="618"/>
      <c r="L3248" s="618"/>
      <c r="M3248" s="619" t="s">
        <v>4207</v>
      </c>
      <c r="N3248" s="715" t="s">
        <v>4197</v>
      </c>
      <c r="O3248" s="618"/>
      <c r="P3248" s="618"/>
      <c r="Q3248" s="618"/>
      <c r="R3248" s="618"/>
      <c r="S3248" s="621"/>
    </row>
    <row r="3249" spans="1:19">
      <c r="A3249" s="704">
        <v>2660000</v>
      </c>
      <c r="B3249" s="618"/>
      <c r="C3249" s="628"/>
      <c r="D3249" s="628"/>
      <c r="E3249" s="672" t="s">
        <v>4208</v>
      </c>
      <c r="F3249" s="707" t="s">
        <v>4195</v>
      </c>
      <c r="G3249" s="714"/>
      <c r="H3249" s="623"/>
      <c r="I3249" s="618"/>
      <c r="J3249" s="619" t="s">
        <v>4208</v>
      </c>
      <c r="K3249" s="618"/>
      <c r="L3249" s="618"/>
      <c r="M3249" s="619" t="s">
        <v>4199</v>
      </c>
      <c r="N3249" s="619" t="s">
        <v>4200</v>
      </c>
      <c r="O3249" s="618"/>
      <c r="P3249" s="618"/>
      <c r="Q3249" s="618"/>
      <c r="R3249" s="618"/>
      <c r="S3249" s="621"/>
    </row>
    <row r="3250" spans="1:19">
      <c r="A3250" s="704">
        <v>2660001</v>
      </c>
      <c r="B3250" s="618"/>
      <c r="C3250" s="628"/>
      <c r="D3250" s="628"/>
      <c r="E3250" s="672" t="s">
        <v>4208</v>
      </c>
      <c r="F3250" s="707" t="s">
        <v>4195</v>
      </c>
      <c r="G3250" s="714"/>
      <c r="H3250" s="623"/>
      <c r="I3250" s="618"/>
      <c r="J3250" s="619" t="s">
        <v>4208</v>
      </c>
      <c r="K3250" s="618"/>
      <c r="L3250" s="618"/>
      <c r="M3250" s="619" t="s">
        <v>4199</v>
      </c>
      <c r="N3250" s="619" t="s">
        <v>4200</v>
      </c>
      <c r="O3250" s="618"/>
      <c r="P3250" s="618"/>
      <c r="Q3250" s="618"/>
      <c r="R3250" s="618"/>
      <c r="S3250" s="621"/>
    </row>
    <row r="3251" spans="1:19">
      <c r="A3251" s="704">
        <v>2660002</v>
      </c>
      <c r="B3251" s="618"/>
      <c r="C3251" s="628"/>
      <c r="D3251" s="628"/>
      <c r="E3251" s="672" t="s">
        <v>4208</v>
      </c>
      <c r="F3251" s="707" t="s">
        <v>4195</v>
      </c>
      <c r="G3251" s="714"/>
      <c r="H3251" s="623"/>
      <c r="I3251" s="618"/>
      <c r="J3251" s="619" t="s">
        <v>4208</v>
      </c>
      <c r="K3251" s="618"/>
      <c r="L3251" s="618"/>
      <c r="M3251" s="619" t="s">
        <v>4199</v>
      </c>
      <c r="N3251" s="619" t="s">
        <v>4200</v>
      </c>
      <c r="O3251" s="618"/>
      <c r="P3251" s="618"/>
      <c r="Q3251" s="618"/>
      <c r="R3251" s="618"/>
      <c r="S3251" s="621"/>
    </row>
    <row r="3252" spans="1:19">
      <c r="A3252" s="704">
        <v>2660003</v>
      </c>
      <c r="B3252" s="618"/>
      <c r="C3252" s="628"/>
      <c r="D3252" s="628"/>
      <c r="E3252" s="672" t="s">
        <v>4208</v>
      </c>
      <c r="F3252" s="707" t="s">
        <v>4195</v>
      </c>
      <c r="G3252" s="714"/>
      <c r="H3252" s="623"/>
      <c r="I3252" s="618"/>
      <c r="J3252" s="619" t="s">
        <v>4208</v>
      </c>
      <c r="K3252" s="618"/>
      <c r="L3252" s="618"/>
      <c r="M3252" s="619" t="s">
        <v>4199</v>
      </c>
      <c r="N3252" s="619" t="s">
        <v>4200</v>
      </c>
      <c r="O3252" s="618"/>
      <c r="P3252" s="618"/>
      <c r="Q3252" s="618"/>
      <c r="R3252" s="618"/>
      <c r="S3252" s="621"/>
    </row>
    <row r="3253" spans="1:19">
      <c r="A3253" s="704">
        <v>2660004</v>
      </c>
      <c r="B3253" s="618"/>
      <c r="C3253" s="628"/>
      <c r="D3253" s="628"/>
      <c r="E3253" s="672" t="s">
        <v>4208</v>
      </c>
      <c r="F3253" s="707" t="s">
        <v>4195</v>
      </c>
      <c r="G3253" s="714"/>
      <c r="H3253" s="623"/>
      <c r="I3253" s="618"/>
      <c r="J3253" s="619" t="s">
        <v>4208</v>
      </c>
      <c r="K3253" s="618"/>
      <c r="L3253" s="618"/>
      <c r="M3253" s="619" t="s">
        <v>4199</v>
      </c>
      <c r="N3253" s="619" t="s">
        <v>4200</v>
      </c>
      <c r="O3253" s="618"/>
      <c r="P3253" s="618"/>
      <c r="Q3253" s="618"/>
      <c r="R3253" s="618"/>
      <c r="S3253" s="621"/>
    </row>
    <row r="3254" spans="1:19">
      <c r="A3254" s="704"/>
      <c r="B3254" s="618"/>
      <c r="C3254" s="628"/>
      <c r="D3254" s="628"/>
      <c r="E3254" s="672"/>
      <c r="F3254" s="707"/>
      <c r="G3254" s="714"/>
      <c r="H3254" s="623"/>
      <c r="I3254" s="618"/>
      <c r="J3254" s="618"/>
      <c r="K3254" s="618"/>
      <c r="L3254" s="618"/>
      <c r="M3254" s="619"/>
      <c r="N3254" s="618"/>
      <c r="O3254" s="618"/>
      <c r="P3254" s="618"/>
      <c r="Q3254" s="618"/>
      <c r="R3254" s="618"/>
      <c r="S3254" s="621"/>
    </row>
    <row r="3255" spans="1:19">
      <c r="A3255" s="704"/>
      <c r="B3255" s="618"/>
      <c r="C3255" s="628"/>
      <c r="D3255" s="628"/>
      <c r="E3255" s="672"/>
      <c r="F3255" s="707"/>
      <c r="G3255" s="714"/>
      <c r="H3255" s="623"/>
      <c r="I3255" s="618"/>
      <c r="J3255" s="618"/>
      <c r="K3255" s="618"/>
      <c r="L3255" s="618"/>
      <c r="M3255" s="619"/>
      <c r="N3255" s="618"/>
      <c r="O3255" s="618"/>
      <c r="P3255" s="618"/>
      <c r="Q3255" s="618"/>
      <c r="R3255" s="618"/>
      <c r="S3255" s="621"/>
    </row>
    <row r="3256" spans="1:19">
      <c r="A3256" s="704">
        <v>2710000</v>
      </c>
      <c r="B3256" s="618"/>
      <c r="C3256" s="628"/>
      <c r="D3256" s="628"/>
      <c r="E3256" s="672" t="s">
        <v>4209</v>
      </c>
      <c r="F3256" s="707" t="s">
        <v>4195</v>
      </c>
      <c r="G3256" s="714"/>
      <c r="H3256" s="623"/>
      <c r="I3256" s="618"/>
      <c r="J3256" s="619" t="s">
        <v>4209</v>
      </c>
      <c r="K3256" s="618"/>
      <c r="L3256" s="618"/>
      <c r="M3256" s="619" t="s">
        <v>4202</v>
      </c>
      <c r="N3256" s="715" t="s">
        <v>4197</v>
      </c>
      <c r="O3256" s="618"/>
      <c r="P3256" s="618"/>
      <c r="Q3256" s="618"/>
      <c r="R3256" s="618"/>
      <c r="S3256" s="621"/>
    </row>
    <row r="3257" spans="1:19">
      <c r="A3257" s="716">
        <v>1110000</v>
      </c>
      <c r="B3257" s="618"/>
      <c r="C3257" s="628"/>
      <c r="D3257" s="628"/>
      <c r="E3257" s="672" t="s">
        <v>4210</v>
      </c>
      <c r="F3257" s="712" t="s">
        <v>4211</v>
      </c>
      <c r="G3257" s="714"/>
      <c r="H3257" s="623"/>
      <c r="I3257" s="618"/>
      <c r="J3257" s="619" t="s">
        <v>4210</v>
      </c>
      <c r="K3257" s="618"/>
      <c r="L3257" s="618"/>
      <c r="M3257" s="619" t="s">
        <v>4212</v>
      </c>
      <c r="N3257" s="619" t="s">
        <v>4190</v>
      </c>
      <c r="O3257" s="618"/>
      <c r="P3257" s="618"/>
      <c r="Q3257" s="618"/>
      <c r="R3257" s="618"/>
      <c r="S3257" s="621"/>
    </row>
    <row r="3258" spans="1:19" ht="16" thickBot="1">
      <c r="A3258" s="704">
        <v>1999950</v>
      </c>
      <c r="B3258" s="618"/>
      <c r="C3258" s="628"/>
      <c r="D3258" s="628"/>
      <c r="E3258" s="672" t="s">
        <v>4213</v>
      </c>
      <c r="F3258" s="712" t="s">
        <v>4211</v>
      </c>
      <c r="G3258" s="714"/>
      <c r="H3258" s="623"/>
      <c r="I3258" s="618"/>
      <c r="J3258" s="619" t="s">
        <v>4213</v>
      </c>
      <c r="K3258" s="618"/>
      <c r="L3258" s="618"/>
      <c r="M3258" s="619" t="s">
        <v>4214</v>
      </c>
      <c r="N3258" s="619" t="s">
        <v>4190</v>
      </c>
      <c r="O3258" s="618"/>
      <c r="P3258" s="618"/>
      <c r="Q3258" s="618"/>
      <c r="R3258" s="618"/>
      <c r="S3258" s="621"/>
    </row>
    <row r="3259" spans="1:19" ht="16.5" thickTop="1" thickBot="1">
      <c r="A3259" s="705"/>
      <c r="B3259" s="717"/>
      <c r="C3259" s="772" t="s">
        <v>4215</v>
      </c>
      <c r="D3259" s="773"/>
      <c r="E3259" s="658"/>
      <c r="F3259" s="618"/>
      <c r="G3259" s="718"/>
      <c r="H3259" s="623"/>
      <c r="I3259" s="618"/>
      <c r="J3259" s="618"/>
      <c r="K3259" s="618"/>
      <c r="L3259" s="618"/>
      <c r="M3259" s="618"/>
      <c r="N3259" s="618"/>
      <c r="O3259" s="618"/>
      <c r="P3259" s="618"/>
      <c r="Q3259" s="618"/>
      <c r="R3259" s="618"/>
      <c r="S3259" s="621"/>
    </row>
    <row r="3260" spans="1:19" ht="16" thickTop="1">
      <c r="A3260" s="705"/>
      <c r="B3260" s="685"/>
      <c r="C3260" s="623"/>
      <c r="D3260" s="623"/>
      <c r="E3260" s="627"/>
      <c r="F3260" s="618"/>
      <c r="G3260" s="706"/>
      <c r="H3260" s="623"/>
      <c r="I3260" s="618"/>
      <c r="J3260" s="618"/>
      <c r="K3260" s="618"/>
      <c r="L3260" s="618"/>
      <c r="M3260" s="618"/>
      <c r="N3260" s="618"/>
      <c r="O3260" s="618"/>
      <c r="P3260" s="618"/>
      <c r="Q3260" s="618"/>
      <c r="R3260" s="618"/>
      <c r="S3260" s="621"/>
    </row>
    <row r="3261" spans="1:19">
      <c r="A3261" s="705"/>
      <c r="B3261" s="685"/>
      <c r="C3261" s="770" t="s">
        <v>4216</v>
      </c>
      <c r="D3261" s="771"/>
      <c r="E3261" s="627"/>
      <c r="F3261" s="618"/>
      <c r="G3261" s="706"/>
      <c r="H3261" s="623"/>
      <c r="I3261" s="618"/>
      <c r="J3261" s="618"/>
      <c r="K3261" s="618"/>
      <c r="L3261" s="618"/>
      <c r="M3261" s="618"/>
      <c r="N3261" s="618"/>
      <c r="O3261" s="618"/>
      <c r="P3261" s="618"/>
      <c r="Q3261" s="618"/>
      <c r="R3261" s="618"/>
      <c r="S3261" s="621"/>
    </row>
    <row r="3262" spans="1:19">
      <c r="A3262" s="705"/>
      <c r="B3262" s="685"/>
      <c r="C3262" s="629">
        <v>6</v>
      </c>
      <c r="D3262" s="623"/>
      <c r="E3262" s="623" t="s">
        <v>4217</v>
      </c>
      <c r="F3262" s="707" t="s">
        <v>4218</v>
      </c>
      <c r="G3262" s="708" t="s">
        <v>4219</v>
      </c>
      <c r="H3262" s="623"/>
      <c r="I3262" s="618"/>
      <c r="J3262" s="618"/>
      <c r="K3262" s="618"/>
      <c r="L3262" s="618"/>
      <c r="M3262" s="618"/>
      <c r="N3262" s="618"/>
      <c r="O3262" s="618"/>
      <c r="P3262" s="618"/>
      <c r="Q3262" s="618"/>
      <c r="R3262" s="618"/>
      <c r="S3262" s="621"/>
    </row>
    <row r="3263" spans="1:19">
      <c r="A3263" s="705">
        <v>4210000</v>
      </c>
      <c r="B3263" s="618"/>
      <c r="C3263" s="629"/>
      <c r="D3263" s="623"/>
      <c r="E3263" s="711" t="s">
        <v>4220</v>
      </c>
      <c r="F3263" s="618"/>
      <c r="G3263" s="708"/>
      <c r="H3263" s="623"/>
      <c r="I3263" s="618"/>
      <c r="J3263" s="619" t="s">
        <v>4220</v>
      </c>
      <c r="K3263" s="618"/>
      <c r="L3263" s="618"/>
      <c r="M3263" s="619" t="s">
        <v>4221</v>
      </c>
      <c r="N3263" s="619" t="s">
        <v>4220</v>
      </c>
      <c r="O3263" s="618"/>
      <c r="P3263" s="618"/>
      <c r="Q3263" s="618"/>
      <c r="R3263" s="618"/>
      <c r="S3263" s="621"/>
    </row>
    <row r="3264" spans="1:19">
      <c r="A3264" s="705"/>
      <c r="B3264" s="685"/>
      <c r="C3264" s="629"/>
      <c r="D3264" s="623"/>
      <c r="E3264" s="623"/>
      <c r="F3264" s="618"/>
      <c r="G3264" s="708"/>
      <c r="H3264" s="623"/>
      <c r="I3264" s="618"/>
      <c r="J3264" s="618"/>
      <c r="K3264" s="618"/>
      <c r="L3264" s="618"/>
      <c r="M3264" s="618"/>
      <c r="N3264" s="618"/>
      <c r="O3264" s="618"/>
      <c r="P3264" s="618"/>
      <c r="Q3264" s="618"/>
      <c r="R3264" s="618"/>
      <c r="S3264" s="621"/>
    </row>
    <row r="3265" spans="1:19">
      <c r="A3265" s="705"/>
      <c r="B3265" s="685"/>
      <c r="C3265" s="629"/>
      <c r="D3265" s="623"/>
      <c r="E3265" s="623"/>
      <c r="F3265" s="618"/>
      <c r="G3265" s="708"/>
      <c r="H3265" s="623"/>
      <c r="I3265" s="618"/>
      <c r="J3265" s="618"/>
      <c r="K3265" s="618"/>
      <c r="L3265" s="618"/>
      <c r="M3265" s="618"/>
      <c r="N3265" s="618"/>
      <c r="O3265" s="618"/>
      <c r="P3265" s="618"/>
      <c r="Q3265" s="618"/>
      <c r="R3265" s="618"/>
      <c r="S3265" s="621"/>
    </row>
    <row r="3266" spans="1:19">
      <c r="A3266" s="705">
        <v>4810000</v>
      </c>
      <c r="B3266" s="685"/>
      <c r="C3266" s="629">
        <v>7</v>
      </c>
      <c r="D3266" s="623"/>
      <c r="E3266" s="623" t="s">
        <v>4222</v>
      </c>
      <c r="F3266" s="707" t="s">
        <v>4223</v>
      </c>
      <c r="G3266" s="708">
        <v>-481</v>
      </c>
      <c r="H3266" s="623"/>
      <c r="I3266" s="618"/>
      <c r="J3266" s="619" t="s">
        <v>4222</v>
      </c>
      <c r="K3266" s="618"/>
      <c r="L3266" s="618"/>
      <c r="M3266" s="619" t="s">
        <v>4224</v>
      </c>
      <c r="N3266" s="715" t="s">
        <v>4225</v>
      </c>
      <c r="O3266" s="618"/>
      <c r="P3266" s="618"/>
      <c r="Q3266" s="618"/>
      <c r="R3266" s="618"/>
      <c r="S3266" s="621"/>
    </row>
    <row r="3267" spans="1:19">
      <c r="A3267" s="705"/>
      <c r="B3267" s="685"/>
      <c r="C3267" s="629">
        <v>8</v>
      </c>
      <c r="D3267" s="623"/>
      <c r="E3267" s="623" t="s">
        <v>4226</v>
      </c>
      <c r="F3267" s="618"/>
      <c r="G3267" s="713" t="s">
        <v>4227</v>
      </c>
      <c r="H3267" s="623"/>
      <c r="I3267" s="618"/>
      <c r="J3267" s="618"/>
      <c r="K3267" s="618"/>
      <c r="L3267" s="618"/>
      <c r="M3267" s="618"/>
      <c r="N3267" s="618"/>
      <c r="O3267" s="618"/>
      <c r="P3267" s="618"/>
      <c r="Q3267" s="618"/>
      <c r="R3267" s="618"/>
      <c r="S3267" s="621"/>
    </row>
    <row r="3268" spans="1:19">
      <c r="A3268" s="704">
        <v>4511100</v>
      </c>
      <c r="B3268" s="618"/>
      <c r="C3268" s="629"/>
      <c r="D3268" s="623"/>
      <c r="E3268" s="711" t="s">
        <v>4228</v>
      </c>
      <c r="F3268" s="618"/>
      <c r="G3268" s="713"/>
      <c r="H3268" s="623"/>
      <c r="I3268" s="618"/>
      <c r="J3268" s="619" t="s">
        <v>4228</v>
      </c>
      <c r="K3268" s="618"/>
      <c r="L3268" s="618"/>
      <c r="M3268" s="619" t="s">
        <v>4229</v>
      </c>
      <c r="N3268" s="715" t="s">
        <v>4230</v>
      </c>
      <c r="O3268" s="618"/>
      <c r="P3268" s="618"/>
      <c r="Q3268" s="618"/>
      <c r="R3268" s="618"/>
      <c r="S3268" s="621"/>
    </row>
    <row r="3269" spans="1:19">
      <c r="A3269" s="704">
        <v>4511000</v>
      </c>
      <c r="B3269" s="618"/>
      <c r="C3269" s="629"/>
      <c r="D3269" s="623"/>
      <c r="E3269" s="711" t="s">
        <v>4231</v>
      </c>
      <c r="F3269" s="707" t="s">
        <v>4232</v>
      </c>
      <c r="G3269" s="713"/>
      <c r="H3269" s="623"/>
      <c r="I3269" s="618"/>
      <c r="J3269" s="619" t="s">
        <v>4231</v>
      </c>
      <c r="K3269" s="618"/>
      <c r="L3269" s="618"/>
      <c r="M3269" s="619" t="s">
        <v>4233</v>
      </c>
      <c r="N3269" s="715" t="s">
        <v>4234</v>
      </c>
      <c r="O3269" s="618"/>
      <c r="P3269" s="618"/>
      <c r="Q3269" s="618"/>
      <c r="R3269" s="618"/>
      <c r="S3269" s="621"/>
    </row>
    <row r="3270" spans="1:19">
      <c r="A3270" s="705">
        <v>4512000</v>
      </c>
      <c r="B3270" s="618"/>
      <c r="C3270" s="629"/>
      <c r="D3270" s="623"/>
      <c r="E3270" s="711" t="s">
        <v>4235</v>
      </c>
      <c r="F3270" s="707" t="s">
        <v>4236</v>
      </c>
      <c r="G3270" s="713"/>
      <c r="H3270" s="623"/>
      <c r="I3270" s="618"/>
      <c r="J3270" s="619" t="s">
        <v>4235</v>
      </c>
      <c r="K3270" s="618"/>
      <c r="L3270" s="618"/>
      <c r="M3270" s="619" t="s">
        <v>4229</v>
      </c>
      <c r="N3270" s="715" t="s">
        <v>4230</v>
      </c>
      <c r="O3270" s="618"/>
      <c r="P3270" s="618"/>
      <c r="Q3270" s="618"/>
      <c r="R3270" s="618"/>
      <c r="S3270" s="621"/>
    </row>
    <row r="3271" spans="1:19">
      <c r="A3271" s="705">
        <v>4991000</v>
      </c>
      <c r="B3271" s="618"/>
      <c r="C3271" s="629"/>
      <c r="D3271" s="623"/>
      <c r="E3271" s="711" t="s">
        <v>4237</v>
      </c>
      <c r="F3271" s="707" t="s">
        <v>4232</v>
      </c>
      <c r="G3271" s="713"/>
      <c r="H3271" s="623"/>
      <c r="I3271" s="618"/>
      <c r="J3271" s="619" t="s">
        <v>4237</v>
      </c>
      <c r="K3271" s="618"/>
      <c r="L3271" s="618"/>
      <c r="M3271" s="619" t="s">
        <v>4221</v>
      </c>
      <c r="N3271" s="619" t="s">
        <v>4220</v>
      </c>
      <c r="O3271" s="618"/>
      <c r="P3271" s="618"/>
      <c r="Q3271" s="618"/>
      <c r="R3271" s="618"/>
      <c r="S3271" s="621"/>
    </row>
    <row r="3272" spans="1:19">
      <c r="A3272" s="705">
        <v>4992000</v>
      </c>
      <c r="B3272" s="618"/>
      <c r="C3272" s="629"/>
      <c r="D3272" s="623"/>
      <c r="E3272" s="711" t="s">
        <v>4237</v>
      </c>
      <c r="F3272" s="707" t="s">
        <v>4232</v>
      </c>
      <c r="G3272" s="713"/>
      <c r="H3272" s="623"/>
      <c r="I3272" s="618"/>
      <c r="J3272" s="619" t="s">
        <v>4237</v>
      </c>
      <c r="K3272" s="618"/>
      <c r="L3272" s="618"/>
      <c r="M3272" s="619" t="s">
        <v>4221</v>
      </c>
      <c r="N3272" s="619" t="s">
        <v>4220</v>
      </c>
      <c r="O3272" s="618"/>
      <c r="P3272" s="618"/>
      <c r="Q3272" s="618"/>
      <c r="R3272" s="618"/>
      <c r="S3272" s="621"/>
    </row>
    <row r="3273" spans="1:19">
      <c r="A3273" s="719">
        <v>4996000</v>
      </c>
      <c r="B3273" s="618"/>
      <c r="C3273" s="629"/>
      <c r="D3273" s="623"/>
      <c r="E3273" s="711" t="s">
        <v>4237</v>
      </c>
      <c r="F3273" s="707" t="s">
        <v>4232</v>
      </c>
      <c r="G3273" s="713"/>
      <c r="H3273" s="623"/>
      <c r="I3273" s="618"/>
      <c r="J3273" s="619" t="s">
        <v>4237</v>
      </c>
      <c r="K3273" s="618"/>
      <c r="L3273" s="618"/>
      <c r="M3273" s="619" t="s">
        <v>4221</v>
      </c>
      <c r="N3273" s="619" t="s">
        <v>4220</v>
      </c>
      <c r="O3273" s="618"/>
      <c r="P3273" s="618"/>
      <c r="Q3273" s="618"/>
      <c r="R3273" s="618"/>
      <c r="S3273" s="621"/>
    </row>
    <row r="3274" spans="1:19">
      <c r="A3274" s="719">
        <v>4994000</v>
      </c>
      <c r="B3274" s="618"/>
      <c r="C3274" s="629"/>
      <c r="D3274" s="623"/>
      <c r="E3274" s="711" t="s">
        <v>4237</v>
      </c>
      <c r="F3274" s="707" t="s">
        <v>4232</v>
      </c>
      <c r="G3274" s="713"/>
      <c r="H3274" s="623"/>
      <c r="I3274" s="618"/>
      <c r="J3274" s="619" t="s">
        <v>4237</v>
      </c>
      <c r="K3274" s="618"/>
      <c r="L3274" s="618"/>
      <c r="M3274" s="619" t="s">
        <v>4221</v>
      </c>
      <c r="N3274" s="619" t="s">
        <v>4220</v>
      </c>
      <c r="O3274" s="618"/>
      <c r="P3274" s="618"/>
      <c r="Q3274" s="618"/>
      <c r="R3274" s="618"/>
      <c r="S3274" s="621"/>
    </row>
    <row r="3275" spans="1:19">
      <c r="A3275" s="719">
        <v>4995000</v>
      </c>
      <c r="B3275" s="618"/>
      <c r="C3275" s="629"/>
      <c r="D3275" s="623"/>
      <c r="E3275" s="711" t="s">
        <v>4237</v>
      </c>
      <c r="F3275" s="707" t="s">
        <v>4232</v>
      </c>
      <c r="G3275" s="713"/>
      <c r="H3275" s="623"/>
      <c r="I3275" s="618"/>
      <c r="J3275" s="619" t="s">
        <v>4237</v>
      </c>
      <c r="K3275" s="618"/>
      <c r="L3275" s="618"/>
      <c r="M3275" s="619" t="s">
        <v>4221</v>
      </c>
      <c r="N3275" s="619" t="s">
        <v>4220</v>
      </c>
      <c r="O3275" s="618"/>
      <c r="P3275" s="618"/>
      <c r="Q3275" s="618"/>
      <c r="R3275" s="618"/>
      <c r="S3275" s="621"/>
    </row>
    <row r="3276" spans="1:19">
      <c r="A3276" s="705"/>
      <c r="B3276" s="618"/>
      <c r="C3276" s="629"/>
      <c r="D3276" s="623"/>
      <c r="E3276" s="711"/>
      <c r="F3276" s="707"/>
      <c r="G3276" s="713"/>
      <c r="H3276" s="623"/>
      <c r="I3276" s="618"/>
      <c r="J3276" s="618"/>
      <c r="K3276" s="618"/>
      <c r="L3276" s="618"/>
      <c r="M3276" s="619"/>
      <c r="N3276" s="618"/>
      <c r="O3276" s="618"/>
      <c r="P3276" s="618"/>
      <c r="Q3276" s="618"/>
      <c r="R3276" s="618"/>
      <c r="S3276" s="621"/>
    </row>
    <row r="3277" spans="1:19">
      <c r="A3277" s="705"/>
      <c r="B3277" s="618"/>
      <c r="C3277" s="629"/>
      <c r="D3277" s="623"/>
      <c r="E3277" s="711"/>
      <c r="F3277" s="707"/>
      <c r="G3277" s="713"/>
      <c r="H3277" s="623"/>
      <c r="I3277" s="618"/>
      <c r="J3277" s="618"/>
      <c r="K3277" s="618"/>
      <c r="L3277" s="618"/>
      <c r="M3277" s="619"/>
      <c r="N3277" s="618"/>
      <c r="O3277" s="618"/>
      <c r="P3277" s="618"/>
      <c r="Q3277" s="618"/>
      <c r="R3277" s="618"/>
      <c r="S3277" s="621"/>
    </row>
    <row r="3278" spans="1:19">
      <c r="A3278" s="705"/>
      <c r="B3278" s="618"/>
      <c r="C3278" s="629"/>
      <c r="D3278" s="623"/>
      <c r="E3278" s="711"/>
      <c r="F3278" s="707"/>
      <c r="G3278" s="713"/>
      <c r="H3278" s="623"/>
      <c r="I3278" s="618"/>
      <c r="J3278" s="618"/>
      <c r="K3278" s="618"/>
      <c r="L3278" s="618"/>
      <c r="M3278" s="619"/>
      <c r="N3278" s="618"/>
      <c r="O3278" s="618"/>
      <c r="P3278" s="618"/>
      <c r="Q3278" s="618"/>
      <c r="R3278" s="618"/>
      <c r="S3278" s="621"/>
    </row>
    <row r="3279" spans="1:19">
      <c r="A3279" s="705">
        <v>4999000</v>
      </c>
      <c r="B3279" s="618"/>
      <c r="C3279" s="629"/>
      <c r="D3279" s="623"/>
      <c r="E3279" s="711" t="s">
        <v>4238</v>
      </c>
      <c r="F3279" s="707" t="s">
        <v>4232</v>
      </c>
      <c r="G3279" s="713"/>
      <c r="H3279" s="623"/>
      <c r="I3279" s="618"/>
      <c r="J3279" s="619" t="s">
        <v>4238</v>
      </c>
      <c r="K3279" s="618"/>
      <c r="L3279" s="618"/>
      <c r="M3279" s="619" t="s">
        <v>4239</v>
      </c>
      <c r="N3279" s="619" t="s">
        <v>4240</v>
      </c>
      <c r="O3279" s="618"/>
      <c r="P3279" s="618"/>
      <c r="Q3279" s="618"/>
      <c r="R3279" s="618"/>
      <c r="S3279" s="621"/>
    </row>
    <row r="3280" spans="1:19">
      <c r="A3280" s="705">
        <v>5901000</v>
      </c>
      <c r="B3280" s="618"/>
      <c r="C3280" s="629"/>
      <c r="D3280" s="623"/>
      <c r="E3280" s="711" t="s">
        <v>4241</v>
      </c>
      <c r="F3280" s="707" t="s">
        <v>4236</v>
      </c>
      <c r="G3280" s="713"/>
      <c r="H3280" s="623"/>
      <c r="I3280" s="618"/>
      <c r="J3280" s="619" t="s">
        <v>4241</v>
      </c>
      <c r="K3280" s="618"/>
      <c r="L3280" s="618"/>
      <c r="M3280" s="619" t="s">
        <v>4239</v>
      </c>
      <c r="N3280" s="619" t="s">
        <v>4240</v>
      </c>
      <c r="O3280" s="618"/>
      <c r="P3280" s="618"/>
      <c r="Q3280" s="618"/>
      <c r="R3280" s="618"/>
      <c r="S3280" s="621"/>
    </row>
    <row r="3281" spans="1:19">
      <c r="A3281" s="705">
        <v>4610000</v>
      </c>
      <c r="B3281" s="618"/>
      <c r="C3281" s="629"/>
      <c r="D3281" s="623"/>
      <c r="E3281" s="711" t="s">
        <v>4242</v>
      </c>
      <c r="F3281" s="707" t="s">
        <v>4232</v>
      </c>
      <c r="G3281" s="713"/>
      <c r="H3281" s="623"/>
      <c r="I3281" s="618"/>
      <c r="J3281" s="619" t="s">
        <v>4242</v>
      </c>
      <c r="K3281" s="618"/>
      <c r="L3281" s="618"/>
      <c r="M3281" s="619" t="s">
        <v>4239</v>
      </c>
      <c r="N3281" s="619" t="s">
        <v>4240</v>
      </c>
      <c r="O3281" s="618"/>
      <c r="P3281" s="618"/>
      <c r="Q3281" s="618"/>
      <c r="R3281" s="618"/>
      <c r="S3281" s="621"/>
    </row>
    <row r="3282" spans="1:19">
      <c r="A3282" s="704">
        <v>4611000</v>
      </c>
      <c r="B3282" s="618"/>
      <c r="C3282" s="629"/>
      <c r="D3282" s="623"/>
      <c r="E3282" s="711" t="s">
        <v>4243</v>
      </c>
      <c r="F3282" s="707" t="s">
        <v>4232</v>
      </c>
      <c r="G3282" s="713"/>
      <c r="H3282" s="623"/>
      <c r="I3282" s="618"/>
      <c r="J3282" s="619" t="s">
        <v>4243</v>
      </c>
      <c r="K3282" s="618"/>
      <c r="L3282" s="618"/>
      <c r="M3282" s="619" t="s">
        <v>4239</v>
      </c>
      <c r="N3282" s="619" t="s">
        <v>4240</v>
      </c>
      <c r="O3282" s="618"/>
      <c r="P3282" s="618"/>
      <c r="Q3282" s="618"/>
      <c r="R3282" s="618"/>
      <c r="S3282" s="621"/>
    </row>
    <row r="3283" spans="1:19">
      <c r="A3283" s="704">
        <v>4620000</v>
      </c>
      <c r="B3283" s="618"/>
      <c r="C3283" s="629"/>
      <c r="D3283" s="623"/>
      <c r="E3283" s="711" t="s">
        <v>4240</v>
      </c>
      <c r="F3283" s="707" t="s">
        <v>4232</v>
      </c>
      <c r="G3283" s="713"/>
      <c r="H3283" s="623"/>
      <c r="I3283" s="618"/>
      <c r="J3283" s="619" t="s">
        <v>4240</v>
      </c>
      <c r="K3283" s="618"/>
      <c r="L3283" s="618"/>
      <c r="M3283" s="619" t="s">
        <v>4239</v>
      </c>
      <c r="N3283" s="619" t="s">
        <v>4240</v>
      </c>
      <c r="O3283" s="618"/>
      <c r="P3283" s="618"/>
      <c r="Q3283" s="618"/>
      <c r="R3283" s="618"/>
      <c r="S3283" s="621"/>
    </row>
    <row r="3284" spans="1:19">
      <c r="A3284" s="705">
        <v>4710000</v>
      </c>
      <c r="B3284" s="618"/>
      <c r="C3284" s="629"/>
      <c r="D3284" s="623"/>
      <c r="E3284" s="711" t="s">
        <v>4244</v>
      </c>
      <c r="F3284" s="707" t="s">
        <v>4232</v>
      </c>
      <c r="G3284" s="713"/>
      <c r="H3284" s="623"/>
      <c r="I3284" s="618"/>
      <c r="J3284" s="619" t="s">
        <v>4244</v>
      </c>
      <c r="K3284" s="618"/>
      <c r="L3284" s="618"/>
      <c r="M3284" s="619" t="s">
        <v>4239</v>
      </c>
      <c r="N3284" s="619" t="s">
        <v>4225</v>
      </c>
      <c r="O3284" s="618"/>
      <c r="P3284" s="618"/>
      <c r="Q3284" s="618"/>
      <c r="R3284" s="618"/>
      <c r="S3284" s="621"/>
    </row>
    <row r="3285" spans="1:19">
      <c r="A3285" s="705">
        <v>4711000</v>
      </c>
      <c r="B3285" s="618"/>
      <c r="C3285" s="629"/>
      <c r="D3285" s="623"/>
      <c r="E3285" s="711" t="s">
        <v>4245</v>
      </c>
      <c r="F3285" s="707" t="s">
        <v>4232</v>
      </c>
      <c r="G3285" s="713"/>
      <c r="H3285" s="623"/>
      <c r="I3285" s="618"/>
      <c r="J3285" s="619" t="s">
        <v>4245</v>
      </c>
      <c r="K3285" s="618"/>
      <c r="L3285" s="618"/>
      <c r="M3285" s="619" t="s">
        <v>4239</v>
      </c>
      <c r="N3285" s="619" t="s">
        <v>4225</v>
      </c>
      <c r="O3285" s="618"/>
      <c r="P3285" s="618"/>
      <c r="Q3285" s="618"/>
      <c r="R3285" s="618"/>
      <c r="S3285" s="621"/>
    </row>
    <row r="3286" spans="1:19">
      <c r="A3286" s="705">
        <v>4712000</v>
      </c>
      <c r="B3286" s="618"/>
      <c r="C3286" s="629"/>
      <c r="D3286" s="623"/>
      <c r="E3286" s="711" t="s">
        <v>4246</v>
      </c>
      <c r="F3286" s="707" t="s">
        <v>4232</v>
      </c>
      <c r="G3286" s="713"/>
      <c r="H3286" s="623"/>
      <c r="I3286" s="618"/>
      <c r="J3286" s="619" t="s">
        <v>4246</v>
      </c>
      <c r="K3286" s="618"/>
      <c r="L3286" s="618"/>
      <c r="M3286" s="619" t="s">
        <v>4239</v>
      </c>
      <c r="N3286" s="619" t="s">
        <v>4225</v>
      </c>
      <c r="O3286" s="618"/>
      <c r="P3286" s="618"/>
      <c r="Q3286" s="618"/>
      <c r="R3286" s="618"/>
      <c r="S3286" s="621"/>
    </row>
    <row r="3287" spans="1:19">
      <c r="A3287" s="705">
        <v>4713000</v>
      </c>
      <c r="B3287" s="618"/>
      <c r="C3287" s="629"/>
      <c r="D3287" s="623"/>
      <c r="E3287" s="711" t="s">
        <v>4247</v>
      </c>
      <c r="F3287" s="707" t="s">
        <v>4232</v>
      </c>
      <c r="G3287" s="713"/>
      <c r="H3287" s="623"/>
      <c r="I3287" s="618"/>
      <c r="J3287" s="619" t="s">
        <v>4247</v>
      </c>
      <c r="K3287" s="618"/>
      <c r="L3287" s="618"/>
      <c r="M3287" s="619" t="s">
        <v>4239</v>
      </c>
      <c r="N3287" s="619" t="s">
        <v>4225</v>
      </c>
      <c r="O3287" s="618"/>
      <c r="P3287" s="618"/>
      <c r="Q3287" s="618"/>
      <c r="R3287" s="618"/>
      <c r="S3287" s="621"/>
    </row>
    <row r="3288" spans="1:19">
      <c r="A3288" s="705">
        <v>4714000</v>
      </c>
      <c r="B3288" s="618"/>
      <c r="C3288" s="629"/>
      <c r="D3288" s="623"/>
      <c r="E3288" s="711" t="s">
        <v>4248</v>
      </c>
      <c r="F3288" s="707" t="s">
        <v>4232</v>
      </c>
      <c r="G3288" s="713"/>
      <c r="H3288" s="623"/>
      <c r="I3288" s="618"/>
      <c r="J3288" s="619" t="s">
        <v>4248</v>
      </c>
      <c r="K3288" s="618"/>
      <c r="L3288" s="618"/>
      <c r="M3288" s="619" t="s">
        <v>4239</v>
      </c>
      <c r="N3288" s="619" t="s">
        <v>4225</v>
      </c>
      <c r="O3288" s="618"/>
      <c r="P3288" s="618"/>
      <c r="Q3288" s="618"/>
      <c r="R3288" s="618"/>
      <c r="S3288" s="621"/>
    </row>
    <row r="3289" spans="1:19">
      <c r="A3289" s="705">
        <v>4715000</v>
      </c>
      <c r="B3289" s="618"/>
      <c r="C3289" s="629"/>
      <c r="D3289" s="623"/>
      <c r="E3289" s="711" t="s">
        <v>4249</v>
      </c>
      <c r="F3289" s="707" t="s">
        <v>4232</v>
      </c>
      <c r="G3289" s="713"/>
      <c r="H3289" s="623"/>
      <c r="I3289" s="618"/>
      <c r="J3289" s="619" t="s">
        <v>4249</v>
      </c>
      <c r="K3289" s="618"/>
      <c r="L3289" s="618"/>
      <c r="M3289" s="619" t="s">
        <v>4239</v>
      </c>
      <c r="N3289" s="619" t="s">
        <v>4225</v>
      </c>
      <c r="O3289" s="618"/>
      <c r="P3289" s="618"/>
      <c r="Q3289" s="618"/>
      <c r="R3289" s="618"/>
      <c r="S3289" s="621"/>
    </row>
    <row r="3290" spans="1:19">
      <c r="A3290" s="704">
        <v>4715100</v>
      </c>
      <c r="B3290" s="618"/>
      <c r="C3290" s="629"/>
      <c r="D3290" s="623"/>
      <c r="E3290" s="711" t="s">
        <v>4250</v>
      </c>
      <c r="F3290" s="707" t="s">
        <v>4232</v>
      </c>
      <c r="G3290" s="713"/>
      <c r="H3290" s="623"/>
      <c r="I3290" s="618"/>
      <c r="J3290" s="619" t="s">
        <v>4250</v>
      </c>
      <c r="K3290" s="618"/>
      <c r="L3290" s="618"/>
      <c r="M3290" s="619" t="s">
        <v>4239</v>
      </c>
      <c r="N3290" s="619" t="s">
        <v>4225</v>
      </c>
      <c r="O3290" s="618"/>
      <c r="P3290" s="618"/>
      <c r="Q3290" s="618"/>
      <c r="R3290" s="618"/>
      <c r="S3290" s="621"/>
    </row>
    <row r="3291" spans="1:19">
      <c r="A3291" s="705">
        <v>4716000</v>
      </c>
      <c r="B3291" s="618"/>
      <c r="C3291" s="629"/>
      <c r="D3291" s="623"/>
      <c r="E3291" s="711" t="s">
        <v>4251</v>
      </c>
      <c r="F3291" s="707" t="s">
        <v>4232</v>
      </c>
      <c r="G3291" s="713"/>
      <c r="H3291" s="623"/>
      <c r="I3291" s="618"/>
      <c r="J3291" s="619" t="s">
        <v>4251</v>
      </c>
      <c r="K3291" s="618"/>
      <c r="L3291" s="618"/>
      <c r="M3291" s="619" t="s">
        <v>4239</v>
      </c>
      <c r="N3291" s="619" t="s">
        <v>4225</v>
      </c>
      <c r="O3291" s="618"/>
      <c r="P3291" s="618"/>
      <c r="Q3291" s="618"/>
      <c r="R3291" s="618"/>
      <c r="S3291" s="621"/>
    </row>
    <row r="3292" spans="1:19">
      <c r="A3292" s="704">
        <v>4717000</v>
      </c>
      <c r="B3292" s="618"/>
      <c r="C3292" s="629"/>
      <c r="D3292" s="623"/>
      <c r="E3292" s="711" t="s">
        <v>4252</v>
      </c>
      <c r="F3292" s="707" t="s">
        <v>4232</v>
      </c>
      <c r="G3292" s="713"/>
      <c r="H3292" s="623"/>
      <c r="I3292" s="618"/>
      <c r="J3292" s="619" t="s">
        <v>4252</v>
      </c>
      <c r="K3292" s="618"/>
      <c r="L3292" s="618"/>
      <c r="M3292" s="619" t="s">
        <v>4239</v>
      </c>
      <c r="N3292" s="619" t="s">
        <v>4225</v>
      </c>
      <c r="O3292" s="618"/>
      <c r="P3292" s="618"/>
      <c r="Q3292" s="618"/>
      <c r="R3292" s="618"/>
      <c r="S3292" s="621"/>
    </row>
    <row r="3293" spans="1:19">
      <c r="A3293" s="704">
        <v>4718000</v>
      </c>
      <c r="B3293" s="618"/>
      <c r="C3293" s="629"/>
      <c r="D3293" s="623"/>
      <c r="E3293" s="711" t="s">
        <v>4253</v>
      </c>
      <c r="F3293" s="707" t="s">
        <v>4232</v>
      </c>
      <c r="G3293" s="713"/>
      <c r="H3293" s="623"/>
      <c r="I3293" s="618"/>
      <c r="J3293" s="619" t="s">
        <v>4253</v>
      </c>
      <c r="K3293" s="618"/>
      <c r="L3293" s="618"/>
      <c r="M3293" s="619" t="s">
        <v>4239</v>
      </c>
      <c r="N3293" s="619" t="s">
        <v>4225</v>
      </c>
      <c r="O3293" s="618"/>
      <c r="P3293" s="618"/>
      <c r="Q3293" s="618"/>
      <c r="R3293" s="618"/>
      <c r="S3293" s="621"/>
    </row>
    <row r="3294" spans="1:19">
      <c r="A3294" s="704">
        <v>4993000</v>
      </c>
      <c r="B3294" s="618"/>
      <c r="C3294" s="629"/>
      <c r="D3294" s="623"/>
      <c r="E3294" s="711" t="s">
        <v>4254</v>
      </c>
      <c r="F3294" s="707" t="s">
        <v>4232</v>
      </c>
      <c r="G3294" s="713"/>
      <c r="H3294" s="623"/>
      <c r="I3294" s="618"/>
      <c r="J3294" s="619" t="s">
        <v>4254</v>
      </c>
      <c r="K3294" s="618"/>
      <c r="L3294" s="618"/>
      <c r="M3294" s="619" t="s">
        <v>4239</v>
      </c>
      <c r="N3294" s="619" t="s">
        <v>4225</v>
      </c>
      <c r="O3294" s="618"/>
      <c r="P3294" s="618"/>
      <c r="Q3294" s="618"/>
      <c r="R3294" s="618"/>
      <c r="S3294" s="621"/>
    </row>
    <row r="3295" spans="1:19">
      <c r="A3295" s="704">
        <v>5310000</v>
      </c>
      <c r="B3295" s="618"/>
      <c r="C3295" s="629"/>
      <c r="D3295" s="623"/>
      <c r="E3295" s="720" t="s">
        <v>4255</v>
      </c>
      <c r="F3295" s="707" t="s">
        <v>4236</v>
      </c>
      <c r="G3295" s="713"/>
      <c r="H3295" s="623"/>
      <c r="I3295" s="618"/>
      <c r="J3295" s="619" t="s">
        <v>4255</v>
      </c>
      <c r="K3295" s="618"/>
      <c r="L3295" s="618"/>
      <c r="M3295" s="619" t="s">
        <v>4256</v>
      </c>
      <c r="N3295" s="619" t="s">
        <v>4225</v>
      </c>
      <c r="O3295" s="618"/>
      <c r="P3295" s="618"/>
      <c r="Q3295" s="618"/>
      <c r="R3295" s="618"/>
      <c r="S3295" s="621"/>
    </row>
    <row r="3296" spans="1:19">
      <c r="A3296" s="710">
        <v>5310001</v>
      </c>
      <c r="B3296" s="618"/>
      <c r="C3296" s="629"/>
      <c r="D3296" s="623"/>
      <c r="E3296" s="720" t="s">
        <v>4255</v>
      </c>
      <c r="F3296" s="707" t="s">
        <v>4236</v>
      </c>
      <c r="G3296" s="713"/>
      <c r="H3296" s="623"/>
      <c r="I3296" s="618"/>
      <c r="J3296" s="619" t="s">
        <v>4255</v>
      </c>
      <c r="K3296" s="618"/>
      <c r="L3296" s="618"/>
      <c r="M3296" s="619" t="s">
        <v>4256</v>
      </c>
      <c r="N3296" s="619" t="s">
        <v>4225</v>
      </c>
      <c r="O3296" s="618"/>
      <c r="P3296" s="618"/>
      <c r="Q3296" s="618"/>
      <c r="R3296" s="618"/>
      <c r="S3296" s="621"/>
    </row>
    <row r="3297" spans="1:19">
      <c r="A3297" s="710">
        <v>5310002</v>
      </c>
      <c r="B3297" s="618"/>
      <c r="C3297" s="629"/>
      <c r="D3297" s="623"/>
      <c r="E3297" s="720" t="s">
        <v>4255</v>
      </c>
      <c r="F3297" s="707" t="s">
        <v>4236</v>
      </c>
      <c r="G3297" s="713"/>
      <c r="H3297" s="623"/>
      <c r="I3297" s="618"/>
      <c r="J3297" s="619" t="s">
        <v>4255</v>
      </c>
      <c r="K3297" s="618"/>
      <c r="L3297" s="618"/>
      <c r="M3297" s="619" t="s">
        <v>4256</v>
      </c>
      <c r="N3297" s="619" t="s">
        <v>4225</v>
      </c>
      <c r="O3297" s="618"/>
      <c r="P3297" s="618"/>
      <c r="Q3297" s="618"/>
      <c r="R3297" s="618"/>
      <c r="S3297" s="621"/>
    </row>
    <row r="3298" spans="1:19">
      <c r="A3298" s="710">
        <v>5310003</v>
      </c>
      <c r="B3298" s="618"/>
      <c r="C3298" s="629"/>
      <c r="D3298" s="623"/>
      <c r="E3298" s="720" t="s">
        <v>4255</v>
      </c>
      <c r="F3298" s="707" t="s">
        <v>4236</v>
      </c>
      <c r="G3298" s="713"/>
      <c r="H3298" s="623"/>
      <c r="I3298" s="618"/>
      <c r="J3298" s="619" t="s">
        <v>4255</v>
      </c>
      <c r="K3298" s="618"/>
      <c r="L3298" s="618"/>
      <c r="M3298" s="619" t="s">
        <v>4256</v>
      </c>
      <c r="N3298" s="619" t="s">
        <v>4225</v>
      </c>
      <c r="O3298" s="618"/>
      <c r="P3298" s="618"/>
      <c r="Q3298" s="618"/>
      <c r="R3298" s="618"/>
      <c r="S3298" s="621"/>
    </row>
    <row r="3299" spans="1:19">
      <c r="A3299" s="710">
        <v>5310004</v>
      </c>
      <c r="B3299" s="618"/>
      <c r="C3299" s="629"/>
      <c r="D3299" s="623"/>
      <c r="E3299" s="720" t="s">
        <v>4255</v>
      </c>
      <c r="F3299" s="707" t="s">
        <v>4236</v>
      </c>
      <c r="G3299" s="713"/>
      <c r="H3299" s="623"/>
      <c r="I3299" s="618"/>
      <c r="J3299" s="619" t="s">
        <v>4255</v>
      </c>
      <c r="K3299" s="618"/>
      <c r="L3299" s="618"/>
      <c r="M3299" s="619" t="s">
        <v>4256</v>
      </c>
      <c r="N3299" s="619" t="s">
        <v>4225</v>
      </c>
      <c r="O3299" s="618"/>
      <c r="P3299" s="618"/>
      <c r="Q3299" s="618"/>
      <c r="R3299" s="618"/>
      <c r="S3299" s="621"/>
    </row>
    <row r="3300" spans="1:19">
      <c r="A3300" s="705"/>
      <c r="B3300" s="618"/>
      <c r="C3300" s="629"/>
      <c r="D3300" s="623"/>
      <c r="E3300" s="623"/>
      <c r="F3300" s="618"/>
      <c r="G3300" s="713"/>
      <c r="H3300" s="623"/>
      <c r="I3300" s="618"/>
      <c r="J3300" s="619" t="s">
        <v>4257</v>
      </c>
      <c r="K3300" s="618"/>
      <c r="L3300" s="618"/>
      <c r="M3300" s="618"/>
      <c r="N3300" s="618"/>
      <c r="O3300" s="618"/>
      <c r="P3300" s="618"/>
      <c r="Q3300" s="618"/>
      <c r="R3300" s="618"/>
      <c r="S3300" s="621"/>
    </row>
    <row r="3301" spans="1:19">
      <c r="A3301" s="705"/>
      <c r="B3301" s="618"/>
      <c r="C3301" s="629">
        <v>9</v>
      </c>
      <c r="D3301" s="623"/>
      <c r="E3301" s="623" t="s">
        <v>4258</v>
      </c>
      <c r="F3301" s="707" t="s">
        <v>4259</v>
      </c>
      <c r="G3301" s="713">
        <v>-511</v>
      </c>
      <c r="H3301" s="623"/>
      <c r="I3301" s="618"/>
      <c r="J3301" s="619" t="s">
        <v>4258</v>
      </c>
      <c r="K3301" s="618"/>
      <c r="L3301" s="618"/>
      <c r="M3301" s="619" t="s">
        <v>4229</v>
      </c>
      <c r="N3301" s="619" t="s">
        <v>4225</v>
      </c>
      <c r="O3301" s="618"/>
      <c r="P3301" s="618"/>
      <c r="Q3301" s="618"/>
      <c r="R3301" s="618"/>
      <c r="S3301" s="621"/>
    </row>
    <row r="3302" spans="1:19">
      <c r="A3302" s="705"/>
      <c r="B3302" s="618"/>
      <c r="C3302" s="629">
        <v>10</v>
      </c>
      <c r="D3302" s="623"/>
      <c r="E3302" s="623" t="s">
        <v>4260</v>
      </c>
      <c r="F3302" s="707" t="s">
        <v>4261</v>
      </c>
      <c r="G3302" s="713">
        <v>-551</v>
      </c>
      <c r="H3302" s="623"/>
      <c r="I3302" s="618"/>
      <c r="J3302" s="619" t="s">
        <v>4260</v>
      </c>
      <c r="K3302" s="618"/>
      <c r="L3302" s="618"/>
      <c r="M3302" s="619" t="s">
        <v>4262</v>
      </c>
      <c r="N3302" s="619" t="s">
        <v>4225</v>
      </c>
      <c r="O3302" s="618"/>
      <c r="P3302" s="618"/>
      <c r="Q3302" s="618"/>
      <c r="R3302" s="618"/>
      <c r="S3302" s="621"/>
    </row>
    <row r="3303" spans="1:19">
      <c r="A3303" s="705"/>
      <c r="B3303" s="711"/>
      <c r="C3303" s="629">
        <v>11</v>
      </c>
      <c r="D3303" s="623"/>
      <c r="E3303" s="623" t="s">
        <v>4263</v>
      </c>
      <c r="F3303" s="707" t="s">
        <v>4236</v>
      </c>
      <c r="G3303" s="713" t="s">
        <v>4264</v>
      </c>
      <c r="H3303" s="623"/>
      <c r="I3303" s="618"/>
      <c r="J3303" s="619" t="s">
        <v>4263</v>
      </c>
      <c r="K3303" s="618"/>
      <c r="L3303" s="618"/>
      <c r="M3303" s="619" t="s">
        <v>4262</v>
      </c>
      <c r="N3303" s="619" t="s">
        <v>4225</v>
      </c>
      <c r="O3303" s="618"/>
      <c r="P3303" s="618"/>
      <c r="Q3303" s="618"/>
      <c r="R3303" s="618"/>
      <c r="S3303" s="621"/>
    </row>
    <row r="3304" spans="1:19">
      <c r="A3304" s="721">
        <v>5320000</v>
      </c>
      <c r="B3304" s="618"/>
      <c r="C3304" s="618"/>
      <c r="D3304" s="623"/>
      <c r="E3304" s="722" t="s">
        <v>4265</v>
      </c>
      <c r="F3304" s="707"/>
      <c r="G3304" s="713"/>
      <c r="H3304" s="623"/>
      <c r="I3304" s="618"/>
      <c r="J3304" s="619" t="s">
        <v>4265</v>
      </c>
      <c r="K3304" s="618"/>
      <c r="L3304" s="618"/>
      <c r="M3304" s="619" t="s">
        <v>4266</v>
      </c>
      <c r="N3304" s="619" t="s">
        <v>4225</v>
      </c>
      <c r="O3304" s="618"/>
      <c r="P3304" s="618"/>
      <c r="Q3304" s="618"/>
      <c r="R3304" s="618"/>
      <c r="S3304" s="621"/>
    </row>
    <row r="3305" spans="1:19" ht="16" thickBot="1">
      <c r="A3305" s="705">
        <v>4513000</v>
      </c>
      <c r="B3305" s="618"/>
      <c r="C3305" s="629"/>
      <c r="D3305" s="623"/>
      <c r="E3305" s="711" t="s">
        <v>4267</v>
      </c>
      <c r="F3305" s="707" t="s">
        <v>4236</v>
      </c>
      <c r="G3305" s="713"/>
      <c r="H3305" s="623"/>
      <c r="I3305" s="618"/>
      <c r="J3305" s="619" t="s">
        <v>4267</v>
      </c>
      <c r="K3305" s="618"/>
      <c r="L3305" s="618"/>
      <c r="M3305" s="619" t="s">
        <v>4229</v>
      </c>
      <c r="N3305" s="715" t="s">
        <v>4230</v>
      </c>
      <c r="O3305" s="618"/>
      <c r="P3305" s="618"/>
      <c r="Q3305" s="618"/>
      <c r="R3305" s="618"/>
      <c r="S3305" s="621"/>
    </row>
    <row r="3306" spans="1:19" ht="16.5" thickTop="1" thickBot="1">
      <c r="A3306" s="705"/>
      <c r="B3306" s="717"/>
      <c r="C3306" s="772" t="s">
        <v>4268</v>
      </c>
      <c r="D3306" s="773"/>
      <c r="E3306" s="658"/>
      <c r="F3306" s="618"/>
      <c r="G3306" s="718"/>
      <c r="H3306" s="623"/>
      <c r="I3306" s="618"/>
      <c r="J3306" s="618"/>
      <c r="K3306" s="618"/>
      <c r="L3306" s="618"/>
      <c r="M3306" s="618"/>
      <c r="N3306" s="618"/>
      <c r="O3306" s="618"/>
      <c r="P3306" s="618"/>
      <c r="Q3306" s="618"/>
      <c r="R3306" s="618"/>
      <c r="S3306" s="621"/>
    </row>
    <row r="3307" spans="1:19" ht="16" thickTop="1">
      <c r="A3307" s="705"/>
      <c r="B3307" s="685"/>
      <c r="C3307" s="623"/>
      <c r="D3307" s="623"/>
      <c r="E3307" s="627"/>
      <c r="F3307" s="618"/>
      <c r="G3307" s="706"/>
      <c r="H3307" s="623"/>
      <c r="I3307" s="618"/>
      <c r="J3307" s="618"/>
      <c r="K3307" s="618"/>
      <c r="L3307" s="618"/>
      <c r="M3307" s="618"/>
      <c r="N3307" s="618"/>
      <c r="O3307" s="618"/>
      <c r="P3307" s="618"/>
      <c r="Q3307" s="618"/>
      <c r="R3307" s="618"/>
      <c r="S3307" s="621"/>
    </row>
    <row r="3308" spans="1:19">
      <c r="A3308" s="705"/>
      <c r="B3308" s="685"/>
      <c r="C3308" s="770" t="s">
        <v>4136</v>
      </c>
      <c r="D3308" s="771"/>
      <c r="E3308" s="627"/>
      <c r="F3308" s="618"/>
      <c r="G3308" s="706"/>
      <c r="H3308" s="623"/>
      <c r="I3308" s="618"/>
      <c r="J3308" s="618"/>
      <c r="K3308" s="618"/>
      <c r="L3308" s="618"/>
      <c r="M3308" s="618"/>
      <c r="N3308" s="618"/>
      <c r="O3308" s="618"/>
      <c r="P3308" s="618"/>
      <c r="Q3308" s="618"/>
      <c r="R3308" s="618"/>
      <c r="S3308" s="621"/>
    </row>
    <row r="3309" spans="1:19">
      <c r="A3309" s="705"/>
      <c r="B3309" s="685"/>
      <c r="C3309" s="629">
        <v>12</v>
      </c>
      <c r="D3309" s="623"/>
      <c r="E3309" s="623" t="s">
        <v>4269</v>
      </c>
      <c r="F3309" s="707" t="s">
        <v>4270</v>
      </c>
      <c r="G3309" s="708">
        <v>-790</v>
      </c>
      <c r="H3309" s="623"/>
      <c r="I3309" s="618"/>
      <c r="J3309" s="618"/>
      <c r="K3309" s="618"/>
      <c r="L3309" s="618"/>
      <c r="M3309" s="618"/>
      <c r="N3309" s="618"/>
      <c r="O3309" s="618"/>
      <c r="P3309" s="618"/>
      <c r="Q3309" s="618"/>
      <c r="R3309" s="618"/>
      <c r="S3309" s="621"/>
    </row>
    <row r="3310" spans="1:19">
      <c r="A3310" s="705"/>
      <c r="B3310" s="685"/>
      <c r="C3310" s="629">
        <v>13</v>
      </c>
      <c r="D3310" s="623"/>
      <c r="E3310" s="623" t="s">
        <v>4271</v>
      </c>
      <c r="F3310" s="626"/>
      <c r="G3310" s="623"/>
      <c r="H3310" s="623"/>
      <c r="I3310" s="618"/>
      <c r="J3310" s="618"/>
      <c r="K3310" s="618"/>
      <c r="L3310" s="618"/>
      <c r="M3310" s="618"/>
      <c r="N3310" s="618"/>
      <c r="O3310" s="618"/>
      <c r="P3310" s="618"/>
      <c r="Q3310" s="618"/>
      <c r="R3310" s="618"/>
      <c r="S3310" s="621"/>
    </row>
    <row r="3311" spans="1:19">
      <c r="A3311" s="704">
        <v>7300000</v>
      </c>
      <c r="B3311" s="618"/>
      <c r="C3311" s="623"/>
      <c r="D3311" s="623"/>
      <c r="E3311" s="623" t="s">
        <v>4272</v>
      </c>
      <c r="F3311" s="707" t="s">
        <v>4273</v>
      </c>
      <c r="G3311" s="713">
        <v>-795</v>
      </c>
      <c r="H3311" s="623"/>
      <c r="I3311" s="618"/>
      <c r="J3311" s="619" t="s">
        <v>4272</v>
      </c>
      <c r="K3311" s="618"/>
      <c r="L3311" s="618"/>
      <c r="M3311" s="619" t="s">
        <v>4274</v>
      </c>
      <c r="N3311" s="715" t="s">
        <v>4275</v>
      </c>
      <c r="O3311" s="618"/>
      <c r="P3311" s="618"/>
      <c r="Q3311" s="618"/>
      <c r="R3311" s="618"/>
      <c r="S3311" s="621"/>
    </row>
    <row r="3312" spans="1:19">
      <c r="A3312" s="705"/>
      <c r="B3312" s="618"/>
      <c r="C3312" s="623"/>
      <c r="D3312" s="623"/>
      <c r="E3312" s="623" t="s">
        <v>4276</v>
      </c>
      <c r="F3312" s="707" t="s">
        <v>4277</v>
      </c>
      <c r="G3312" s="713">
        <v>-796</v>
      </c>
      <c r="H3312" s="623"/>
      <c r="I3312" s="618"/>
      <c r="J3312" s="618"/>
      <c r="K3312" s="618"/>
      <c r="L3312" s="618"/>
      <c r="M3312" s="618"/>
      <c r="N3312" s="618"/>
      <c r="O3312" s="618"/>
      <c r="P3312" s="618"/>
      <c r="Q3312" s="618"/>
      <c r="R3312" s="618"/>
      <c r="S3312" s="621"/>
    </row>
    <row r="3313" spans="1:19">
      <c r="A3313" s="704">
        <v>7000000</v>
      </c>
      <c r="B3313" s="711" t="s">
        <v>4278</v>
      </c>
      <c r="C3313" s="623"/>
      <c r="D3313" s="623"/>
      <c r="E3313" s="623" t="s">
        <v>4279</v>
      </c>
      <c r="F3313" s="707" t="s">
        <v>4280</v>
      </c>
      <c r="G3313" s="713">
        <v>-797</v>
      </c>
      <c r="H3313" s="623"/>
      <c r="I3313" s="618"/>
      <c r="J3313" s="619" t="s">
        <v>4279</v>
      </c>
      <c r="K3313" s="618"/>
      <c r="L3313" s="618"/>
      <c r="M3313" s="619" t="s">
        <v>4281</v>
      </c>
      <c r="N3313" s="618"/>
      <c r="O3313" s="618"/>
      <c r="P3313" s="618"/>
      <c r="Q3313" s="618"/>
      <c r="R3313" s="618"/>
      <c r="S3313" s="621"/>
    </row>
    <row r="3314" spans="1:19">
      <c r="A3314" s="704">
        <v>7400000</v>
      </c>
      <c r="B3314" s="711" t="s">
        <v>4282</v>
      </c>
      <c r="C3314" s="623"/>
      <c r="D3314" s="623"/>
      <c r="E3314" s="623" t="s">
        <v>4283</v>
      </c>
      <c r="F3314" s="707" t="s">
        <v>4284</v>
      </c>
      <c r="G3314" s="713">
        <v>-798</v>
      </c>
      <c r="H3314" s="623"/>
      <c r="I3314" s="618"/>
      <c r="J3314" s="619" t="s">
        <v>4283</v>
      </c>
      <c r="K3314" s="618"/>
      <c r="L3314" s="618"/>
      <c r="M3314" s="619" t="s">
        <v>4281</v>
      </c>
      <c r="N3314" s="618"/>
      <c r="O3314" s="618"/>
      <c r="P3314" s="618"/>
      <c r="Q3314" s="618"/>
      <c r="R3314" s="618"/>
      <c r="S3314" s="621"/>
    </row>
    <row r="3315" spans="1:19">
      <c r="A3315" s="671" t="s">
        <v>4285</v>
      </c>
      <c r="B3315" s="671" t="s">
        <v>4285</v>
      </c>
      <c r="C3315" s="623"/>
      <c r="D3315" s="623"/>
      <c r="E3315" s="623"/>
      <c r="F3315" s="618"/>
      <c r="G3315" s="623"/>
      <c r="H3315" s="623"/>
      <c r="I3315" s="618"/>
      <c r="J3315" s="618"/>
      <c r="K3315" s="618"/>
      <c r="L3315" s="618"/>
      <c r="M3315" s="619" t="s">
        <v>4281</v>
      </c>
      <c r="N3315" s="618"/>
      <c r="O3315" s="618"/>
      <c r="P3315" s="618"/>
      <c r="Q3315" s="618"/>
      <c r="R3315" s="618"/>
      <c r="S3315" s="621"/>
    </row>
    <row r="3316" spans="1:19">
      <c r="A3316" s="704" t="s">
        <v>568</v>
      </c>
      <c r="B3316" s="671" t="s">
        <v>568</v>
      </c>
      <c r="C3316" s="623"/>
      <c r="D3316" s="623"/>
      <c r="E3316" s="623"/>
      <c r="F3316" s="618"/>
      <c r="G3316" s="623"/>
      <c r="H3316" s="623"/>
      <c r="I3316" s="618"/>
      <c r="J3316" s="618"/>
      <c r="K3316" s="618"/>
      <c r="L3316" s="618"/>
      <c r="M3316" s="619" t="s">
        <v>4281</v>
      </c>
      <c r="N3316" s="618"/>
      <c r="O3316" s="618"/>
      <c r="P3316" s="618"/>
      <c r="Q3316" s="618"/>
      <c r="R3316" s="618"/>
      <c r="S3316" s="621"/>
    </row>
    <row r="3317" spans="1:19">
      <c r="A3317" s="704" t="s">
        <v>4286</v>
      </c>
      <c r="B3317" s="671" t="s">
        <v>4286</v>
      </c>
      <c r="C3317" s="623"/>
      <c r="D3317" s="623"/>
      <c r="E3317" s="623"/>
      <c r="F3317" s="618"/>
      <c r="G3317" s="623"/>
      <c r="H3317" s="623"/>
      <c r="I3317" s="618"/>
      <c r="J3317" s="618"/>
      <c r="K3317" s="618"/>
      <c r="L3317" s="618"/>
      <c r="M3317" s="618"/>
      <c r="N3317" s="618"/>
      <c r="O3317" s="618"/>
      <c r="P3317" s="618"/>
      <c r="Q3317" s="618"/>
      <c r="R3317" s="618"/>
      <c r="S3317" s="621"/>
    </row>
    <row r="3318" spans="1:19">
      <c r="A3318" s="705"/>
      <c r="B3318" s="623"/>
      <c r="C3318" s="623"/>
      <c r="D3318" s="623"/>
      <c r="E3318" s="623"/>
      <c r="F3318" s="618"/>
      <c r="G3318" s="623"/>
      <c r="H3318" s="623"/>
      <c r="I3318" s="618"/>
      <c r="J3318" s="618"/>
      <c r="K3318" s="618"/>
      <c r="L3318" s="618"/>
      <c r="M3318" s="618"/>
      <c r="N3318" s="618"/>
      <c r="O3318" s="618"/>
      <c r="P3318" s="618"/>
      <c r="Q3318" s="618"/>
      <c r="R3318" s="618"/>
      <c r="S3318" s="621"/>
    </row>
    <row r="3319" spans="1:19">
      <c r="A3319" s="705"/>
      <c r="B3319" s="623"/>
      <c r="C3319" s="623"/>
      <c r="D3319" s="623"/>
      <c r="E3319" s="623"/>
      <c r="F3319" s="618"/>
      <c r="G3319" s="623"/>
      <c r="H3319" s="623"/>
      <c r="I3319" s="618"/>
      <c r="J3319" s="618"/>
      <c r="K3319" s="618"/>
      <c r="L3319" s="618"/>
      <c r="M3319" s="618"/>
      <c r="N3319" s="618"/>
      <c r="O3319" s="618"/>
      <c r="P3319" s="618"/>
      <c r="Q3319" s="618"/>
      <c r="R3319" s="618"/>
      <c r="S3319" s="621"/>
    </row>
    <row r="3320" spans="1:19">
      <c r="A3320" s="705"/>
      <c r="B3320" s="623"/>
      <c r="C3320" s="623"/>
      <c r="D3320" s="623"/>
      <c r="E3320" s="623"/>
      <c r="F3320" s="618"/>
      <c r="G3320" s="623"/>
      <c r="H3320" s="623"/>
      <c r="I3320" s="618"/>
      <c r="J3320" s="618"/>
      <c r="K3320" s="618"/>
      <c r="L3320" s="618"/>
      <c r="M3320" s="618"/>
      <c r="N3320" s="618"/>
      <c r="O3320" s="618"/>
      <c r="P3320" s="618"/>
      <c r="Q3320" s="618"/>
      <c r="R3320" s="618"/>
      <c r="S3320" s="621"/>
    </row>
    <row r="3321" spans="1:19">
      <c r="A3321" s="705"/>
      <c r="B3321" s="623"/>
      <c r="C3321" s="623"/>
      <c r="D3321" s="623"/>
      <c r="E3321" s="623"/>
      <c r="F3321" s="618"/>
      <c r="G3321" s="623"/>
      <c r="H3321" s="623"/>
      <c r="I3321" s="618"/>
      <c r="J3321" s="618"/>
      <c r="K3321" s="618"/>
      <c r="L3321" s="618"/>
      <c r="M3321" s="618"/>
      <c r="N3321" s="618"/>
      <c r="O3321" s="618"/>
      <c r="P3321" s="618"/>
      <c r="Q3321" s="618"/>
      <c r="R3321" s="618"/>
      <c r="S3321" s="621"/>
    </row>
    <row r="3322" spans="1:19">
      <c r="A3322" s="705"/>
      <c r="B3322" s="623"/>
      <c r="C3322" s="623"/>
      <c r="D3322" s="623"/>
      <c r="E3322" s="623"/>
      <c r="F3322" s="618"/>
      <c r="G3322" s="623"/>
      <c r="H3322" s="623"/>
      <c r="I3322" s="618"/>
      <c r="J3322" s="618"/>
      <c r="K3322" s="618"/>
      <c r="L3322" s="618"/>
      <c r="M3322" s="618"/>
      <c r="N3322" s="618"/>
      <c r="O3322" s="618"/>
      <c r="P3322" s="618"/>
      <c r="Q3322" s="618"/>
      <c r="R3322" s="618"/>
      <c r="S3322" s="621"/>
    </row>
    <row r="3323" spans="1:19">
      <c r="A3323" s="705"/>
      <c r="B3323" s="623"/>
      <c r="C3323" s="623"/>
      <c r="D3323" s="623"/>
      <c r="E3323" s="623"/>
      <c r="F3323" s="618"/>
      <c r="G3323" s="623"/>
      <c r="H3323" s="623"/>
      <c r="I3323" s="618"/>
      <c r="J3323" s="618"/>
      <c r="K3323" s="618"/>
      <c r="L3323" s="618"/>
      <c r="M3323" s="618"/>
      <c r="N3323" s="618"/>
      <c r="O3323" s="618"/>
      <c r="P3323" s="618"/>
      <c r="Q3323" s="618"/>
      <c r="R3323" s="618"/>
      <c r="S3323" s="621"/>
    </row>
    <row r="3324" spans="1:19">
      <c r="A3324" s="705"/>
      <c r="B3324" s="623"/>
      <c r="C3324" s="623"/>
      <c r="D3324" s="623"/>
      <c r="E3324" s="623"/>
      <c r="F3324" s="618"/>
      <c r="G3324" s="623"/>
      <c r="H3324" s="623"/>
      <c r="I3324" s="618"/>
      <c r="J3324" s="618"/>
      <c r="K3324" s="618"/>
      <c r="L3324" s="618"/>
      <c r="M3324" s="618"/>
      <c r="N3324" s="618"/>
      <c r="O3324" s="618"/>
      <c r="P3324" s="618"/>
      <c r="Q3324" s="618"/>
      <c r="R3324" s="618"/>
      <c r="S3324" s="621"/>
    </row>
    <row r="3325" spans="1:19">
      <c r="A3325" s="705"/>
      <c r="B3325" s="623"/>
      <c r="C3325" s="623"/>
      <c r="D3325" s="623"/>
      <c r="E3325" s="623"/>
      <c r="F3325" s="618"/>
      <c r="G3325" s="623"/>
      <c r="H3325" s="623"/>
      <c r="I3325" s="618"/>
      <c r="J3325" s="618"/>
      <c r="K3325" s="618"/>
      <c r="L3325" s="618"/>
      <c r="M3325" s="618"/>
      <c r="N3325" s="618"/>
      <c r="O3325" s="618"/>
      <c r="P3325" s="618"/>
      <c r="Q3325" s="618"/>
      <c r="R3325" s="618"/>
      <c r="S3325" s="621"/>
    </row>
    <row r="3326" spans="1:19">
      <c r="A3326" s="705"/>
      <c r="B3326" s="623"/>
      <c r="C3326" s="623"/>
      <c r="D3326" s="623"/>
      <c r="E3326" s="623"/>
      <c r="F3326" s="618"/>
      <c r="G3326" s="623"/>
      <c r="H3326" s="623"/>
      <c r="I3326" s="618"/>
      <c r="J3326" s="618"/>
      <c r="K3326" s="618"/>
      <c r="L3326" s="618"/>
      <c r="M3326" s="618"/>
      <c r="N3326" s="618"/>
      <c r="O3326" s="618"/>
      <c r="P3326" s="618"/>
      <c r="Q3326" s="618"/>
      <c r="R3326" s="618"/>
      <c r="S3326" s="621"/>
    </row>
    <row r="3327" spans="1:19">
      <c r="A3327" s="705"/>
      <c r="B3327" s="623"/>
      <c r="C3327" s="623"/>
      <c r="D3327" s="623"/>
      <c r="E3327" s="623"/>
      <c r="F3327" s="618"/>
      <c r="G3327" s="623"/>
      <c r="H3327" s="623"/>
      <c r="I3327" s="618"/>
      <c r="J3327" s="618"/>
      <c r="K3327" s="618"/>
      <c r="L3327" s="618"/>
      <c r="M3327" s="618"/>
      <c r="N3327" s="618"/>
      <c r="O3327" s="618"/>
      <c r="P3327" s="618"/>
      <c r="Q3327" s="618"/>
      <c r="R3327" s="618"/>
      <c r="S3327" s="621"/>
    </row>
    <row r="3328" spans="1:19">
      <c r="A3328" s="705"/>
      <c r="B3328" s="623"/>
      <c r="C3328" s="623"/>
      <c r="D3328" s="623"/>
      <c r="E3328" s="623"/>
      <c r="F3328" s="618"/>
      <c r="G3328" s="623"/>
      <c r="H3328" s="623"/>
      <c r="I3328" s="618"/>
      <c r="J3328" s="618"/>
      <c r="K3328" s="618"/>
      <c r="L3328" s="618"/>
      <c r="M3328" s="618"/>
      <c r="N3328" s="618"/>
      <c r="O3328" s="618"/>
      <c r="P3328" s="618"/>
      <c r="Q3328" s="618"/>
      <c r="R3328" s="618"/>
      <c r="S3328" s="621"/>
    </row>
    <row r="3329" spans="1:19">
      <c r="A3329" s="705"/>
      <c r="B3329" s="623"/>
      <c r="C3329" s="623"/>
      <c r="D3329" s="623"/>
      <c r="E3329" s="623"/>
      <c r="F3329" s="618"/>
      <c r="G3329" s="623"/>
      <c r="H3329" s="623"/>
      <c r="I3329" s="618"/>
      <c r="J3329" s="618"/>
      <c r="K3329" s="618"/>
      <c r="L3329" s="618"/>
      <c r="M3329" s="618"/>
      <c r="N3329" s="618"/>
      <c r="O3329" s="618"/>
      <c r="P3329" s="618"/>
      <c r="Q3329" s="618"/>
      <c r="R3329" s="618"/>
      <c r="S3329" s="621"/>
    </row>
    <row r="3330" spans="1:19">
      <c r="A3330" s="705"/>
      <c r="B3330" s="623"/>
      <c r="C3330" s="623"/>
      <c r="D3330" s="623"/>
      <c r="E3330" s="623"/>
      <c r="F3330" s="618"/>
      <c r="G3330" s="623"/>
      <c r="H3330" s="623"/>
      <c r="I3330" s="618"/>
      <c r="J3330" s="618"/>
      <c r="K3330" s="618"/>
      <c r="L3330" s="618"/>
      <c r="M3330" s="618"/>
      <c r="N3330" s="618"/>
      <c r="O3330" s="618"/>
      <c r="P3330" s="618"/>
      <c r="Q3330" s="618"/>
      <c r="R3330" s="618"/>
      <c r="S3330" s="621"/>
    </row>
    <row r="3331" spans="1:19">
      <c r="A3331" s="705"/>
      <c r="B3331" s="623"/>
      <c r="C3331" s="623"/>
      <c r="D3331" s="623"/>
      <c r="E3331" s="623"/>
      <c r="F3331" s="618"/>
      <c r="G3331" s="623"/>
      <c r="H3331" s="623"/>
      <c r="I3331" s="618"/>
      <c r="J3331" s="618"/>
      <c r="K3331" s="618"/>
      <c r="L3331" s="618"/>
      <c r="M3331" s="618"/>
      <c r="N3331" s="618"/>
      <c r="O3331" s="618"/>
      <c r="P3331" s="618"/>
      <c r="Q3331" s="618"/>
      <c r="R3331" s="618"/>
      <c r="S3331" s="621"/>
    </row>
    <row r="3332" spans="1:19">
      <c r="A3332" s="705"/>
      <c r="B3332" s="623"/>
      <c r="C3332" s="623"/>
      <c r="D3332" s="623"/>
      <c r="E3332" s="623"/>
      <c r="F3332" s="618"/>
      <c r="G3332" s="623"/>
      <c r="H3332" s="623"/>
      <c r="I3332" s="618"/>
      <c r="J3332" s="618"/>
      <c r="K3332" s="618"/>
      <c r="L3332" s="618"/>
      <c r="M3332" s="618"/>
      <c r="N3332" s="618"/>
      <c r="O3332" s="618"/>
      <c r="P3332" s="618"/>
      <c r="Q3332" s="618"/>
      <c r="R3332" s="618"/>
      <c r="S3332" s="621"/>
    </row>
    <row r="3333" spans="1:19">
      <c r="A3333" s="705"/>
      <c r="B3333" s="623"/>
      <c r="C3333" s="723"/>
      <c r="D3333" s="711"/>
      <c r="E3333" s="623"/>
      <c r="F3333" s="618"/>
      <c r="G3333" s="623"/>
      <c r="H3333" s="623"/>
      <c r="I3333" s="618"/>
      <c r="J3333" s="618"/>
      <c r="K3333" s="618"/>
      <c r="L3333" s="618"/>
      <c r="M3333" s="618"/>
      <c r="N3333" s="618"/>
      <c r="O3333" s="618"/>
      <c r="P3333" s="618"/>
      <c r="Q3333" s="618"/>
      <c r="R3333" s="618"/>
      <c r="S3333" s="621"/>
    </row>
    <row r="3334" spans="1:19">
      <c r="A3334" s="705"/>
      <c r="B3334" s="623"/>
      <c r="C3334" s="618"/>
      <c r="D3334" s="618"/>
      <c r="E3334" s="623"/>
      <c r="F3334" s="618"/>
      <c r="G3334" s="623"/>
      <c r="H3334" s="623"/>
      <c r="I3334" s="618"/>
      <c r="J3334" s="618"/>
      <c r="K3334" s="618"/>
      <c r="L3334" s="618"/>
      <c r="M3334" s="618"/>
      <c r="N3334" s="618"/>
      <c r="O3334" s="618"/>
      <c r="P3334" s="618"/>
      <c r="Q3334" s="618"/>
      <c r="R3334" s="618"/>
      <c r="S3334" s="621"/>
    </row>
    <row r="3335" spans="1:19">
      <c r="A3335" s="705"/>
      <c r="B3335" s="623"/>
      <c r="C3335" s="618"/>
      <c r="D3335" s="618"/>
      <c r="E3335" s="623"/>
      <c r="F3335" s="618"/>
      <c r="G3335" s="623"/>
      <c r="H3335" s="623"/>
      <c r="I3335" s="618"/>
      <c r="J3335" s="618"/>
      <c r="K3335" s="618"/>
      <c r="L3335" s="618"/>
      <c r="M3335" s="618"/>
      <c r="N3335" s="618"/>
      <c r="O3335" s="618"/>
      <c r="P3335" s="618"/>
      <c r="Q3335" s="618"/>
      <c r="R3335" s="618"/>
      <c r="S3335" s="621"/>
    </row>
    <row r="3336" spans="1:19">
      <c r="A3336" s="705"/>
      <c r="B3336" s="623"/>
      <c r="C3336" s="618"/>
      <c r="D3336" s="618"/>
      <c r="E3336" s="623"/>
      <c r="F3336" s="618"/>
      <c r="G3336" s="623"/>
      <c r="H3336" s="623"/>
      <c r="I3336" s="618"/>
      <c r="J3336" s="618"/>
      <c r="K3336" s="618"/>
      <c r="L3336" s="618"/>
      <c r="M3336" s="618"/>
      <c r="N3336" s="618"/>
      <c r="O3336" s="618"/>
      <c r="P3336" s="618"/>
      <c r="Q3336" s="618"/>
      <c r="R3336" s="618"/>
      <c r="S3336" s="621"/>
    </row>
    <row r="3337" spans="1:19">
      <c r="A3337" s="705"/>
      <c r="B3337" s="623"/>
      <c r="C3337" s="618"/>
      <c r="D3337" s="618"/>
      <c r="E3337" s="623"/>
      <c r="F3337" s="618"/>
      <c r="G3337" s="623"/>
      <c r="H3337" s="623"/>
      <c r="I3337" s="618"/>
      <c r="J3337" s="618"/>
      <c r="K3337" s="618"/>
      <c r="L3337" s="618"/>
      <c r="M3337" s="618"/>
      <c r="N3337" s="618"/>
      <c r="O3337" s="618"/>
      <c r="P3337" s="618"/>
      <c r="Q3337" s="618"/>
      <c r="R3337" s="618"/>
      <c r="S3337" s="621"/>
    </row>
    <row r="3338" spans="1:19">
      <c r="A3338" s="705"/>
      <c r="B3338" s="623"/>
      <c r="C3338" s="618"/>
      <c r="D3338" s="618"/>
      <c r="E3338" s="623"/>
      <c r="F3338" s="618"/>
      <c r="G3338" s="623"/>
      <c r="H3338" s="623"/>
      <c r="I3338" s="618"/>
      <c r="J3338" s="618"/>
      <c r="K3338" s="618"/>
      <c r="L3338" s="618"/>
      <c r="M3338" s="618"/>
      <c r="N3338" s="618"/>
      <c r="O3338" s="618"/>
      <c r="P3338" s="618"/>
      <c r="Q3338" s="618"/>
      <c r="R3338" s="618"/>
      <c r="S3338" s="621"/>
    </row>
    <row r="3339" spans="1:19">
      <c r="A3339" s="705"/>
      <c r="B3339" s="623"/>
      <c r="C3339" s="618"/>
      <c r="D3339" s="618"/>
      <c r="E3339" s="623"/>
      <c r="F3339" s="618"/>
      <c r="G3339" s="623"/>
      <c r="H3339" s="623"/>
      <c r="I3339" s="618"/>
      <c r="J3339" s="618"/>
      <c r="K3339" s="618"/>
      <c r="L3339" s="618"/>
      <c r="M3339" s="618"/>
      <c r="N3339" s="618"/>
      <c r="O3339" s="618"/>
      <c r="P3339" s="618"/>
      <c r="Q3339" s="618"/>
      <c r="R3339" s="618"/>
      <c r="S3339" s="621"/>
    </row>
    <row r="3340" spans="1:19">
      <c r="A3340" s="705"/>
      <c r="B3340" s="623"/>
      <c r="C3340" s="623"/>
      <c r="D3340" s="623"/>
      <c r="E3340" s="623"/>
      <c r="F3340" s="618"/>
      <c r="G3340" s="623"/>
      <c r="H3340" s="623"/>
      <c r="I3340" s="618"/>
      <c r="J3340" s="618"/>
      <c r="K3340" s="618"/>
      <c r="L3340" s="618"/>
      <c r="M3340" s="618"/>
      <c r="N3340" s="618"/>
      <c r="O3340" s="618"/>
      <c r="P3340" s="618"/>
      <c r="Q3340" s="618"/>
      <c r="R3340" s="618"/>
      <c r="S3340" s="621"/>
    </row>
    <row r="3341" spans="1:19">
      <c r="A3341" s="705"/>
      <c r="B3341" s="623"/>
      <c r="C3341" s="623"/>
      <c r="D3341" s="623"/>
      <c r="E3341" s="623"/>
      <c r="F3341" s="618"/>
      <c r="G3341" s="623"/>
      <c r="H3341" s="623"/>
      <c r="I3341" s="618"/>
      <c r="J3341" s="618"/>
      <c r="K3341" s="618"/>
      <c r="L3341" s="618"/>
      <c r="M3341" s="618"/>
      <c r="N3341" s="618"/>
      <c r="O3341" s="618"/>
      <c r="P3341" s="618"/>
      <c r="Q3341" s="618"/>
      <c r="R3341" s="618"/>
      <c r="S3341" s="621"/>
    </row>
    <row r="3342" spans="1:19">
      <c r="A3342" s="705"/>
      <c r="B3342" s="623"/>
      <c r="C3342" s="623"/>
      <c r="D3342" s="623"/>
      <c r="E3342" s="623"/>
      <c r="F3342" s="618"/>
      <c r="G3342" s="623"/>
      <c r="H3342" s="623"/>
      <c r="I3342" s="618"/>
      <c r="J3342" s="618"/>
      <c r="K3342" s="618"/>
      <c r="L3342" s="618"/>
      <c r="M3342" s="618"/>
      <c r="N3342" s="618"/>
      <c r="O3342" s="618"/>
      <c r="P3342" s="618"/>
      <c r="Q3342" s="618"/>
      <c r="R3342" s="618"/>
      <c r="S3342" s="621"/>
    </row>
    <row r="3343" spans="1:19">
      <c r="A3343" s="705"/>
      <c r="B3343" s="623"/>
      <c r="C3343" s="623"/>
      <c r="D3343" s="623"/>
      <c r="E3343" s="623"/>
      <c r="F3343" s="618"/>
      <c r="G3343" s="623"/>
      <c r="H3343" s="623"/>
      <c r="I3343" s="618"/>
      <c r="J3343" s="618"/>
      <c r="K3343" s="618"/>
      <c r="L3343" s="618"/>
      <c r="M3343" s="618"/>
      <c r="N3343" s="618"/>
      <c r="O3343" s="618"/>
      <c r="P3343" s="618"/>
      <c r="Q3343" s="618"/>
      <c r="R3343" s="618"/>
      <c r="S3343" s="621"/>
    </row>
    <row r="3344" spans="1:19">
      <c r="A3344" s="705"/>
      <c r="B3344" s="623"/>
      <c r="C3344" s="623"/>
      <c r="D3344" s="623"/>
      <c r="E3344" s="623"/>
      <c r="F3344" s="618"/>
      <c r="G3344" s="623"/>
      <c r="H3344" s="623"/>
      <c r="I3344" s="618"/>
      <c r="J3344" s="618"/>
      <c r="K3344" s="618"/>
      <c r="L3344" s="618"/>
      <c r="M3344" s="618"/>
      <c r="N3344" s="618"/>
      <c r="O3344" s="618"/>
      <c r="P3344" s="618"/>
      <c r="Q3344" s="618"/>
      <c r="R3344" s="618"/>
      <c r="S3344" s="621"/>
    </row>
    <row r="3345" spans="1:19">
      <c r="A3345" s="705"/>
      <c r="B3345" s="623"/>
      <c r="C3345" s="623"/>
      <c r="D3345" s="623"/>
      <c r="E3345" s="623"/>
      <c r="F3345" s="618"/>
      <c r="G3345" s="623"/>
      <c r="H3345" s="623"/>
      <c r="I3345" s="618"/>
      <c r="J3345" s="618"/>
      <c r="K3345" s="618"/>
      <c r="L3345" s="618"/>
      <c r="M3345" s="618"/>
      <c r="N3345" s="618"/>
      <c r="O3345" s="618"/>
      <c r="P3345" s="618"/>
      <c r="Q3345" s="618"/>
      <c r="R3345" s="618"/>
      <c r="S3345" s="621"/>
    </row>
    <row r="3346" spans="1:19">
      <c r="A3346" s="705"/>
      <c r="B3346" s="623"/>
      <c r="C3346" s="623"/>
      <c r="D3346" s="623"/>
      <c r="E3346" s="623"/>
      <c r="F3346" s="618"/>
      <c r="G3346" s="623"/>
      <c r="H3346" s="623"/>
      <c r="I3346" s="618"/>
      <c r="J3346" s="618"/>
      <c r="K3346" s="618"/>
      <c r="L3346" s="618"/>
      <c r="M3346" s="618"/>
      <c r="N3346" s="618"/>
      <c r="O3346" s="618"/>
      <c r="P3346" s="618"/>
      <c r="Q3346" s="618"/>
      <c r="R3346" s="618"/>
      <c r="S3346" s="621"/>
    </row>
    <row r="3347" spans="1:19">
      <c r="A3347" s="705"/>
      <c r="B3347" s="623"/>
      <c r="C3347" s="623"/>
      <c r="D3347" s="623"/>
      <c r="E3347" s="623"/>
      <c r="F3347" s="618"/>
      <c r="G3347" s="623"/>
      <c r="H3347" s="623"/>
      <c r="I3347" s="618"/>
      <c r="J3347" s="618"/>
      <c r="K3347" s="618"/>
      <c r="L3347" s="618"/>
      <c r="M3347" s="618"/>
      <c r="N3347" s="618"/>
      <c r="O3347" s="618"/>
      <c r="P3347" s="618"/>
      <c r="Q3347" s="618"/>
      <c r="R3347" s="618"/>
      <c r="S3347" s="621"/>
    </row>
    <row r="3348" spans="1:19">
      <c r="A3348" s="705"/>
      <c r="B3348" s="623"/>
      <c r="C3348" s="623"/>
      <c r="D3348" s="623"/>
      <c r="E3348" s="623"/>
      <c r="F3348" s="618"/>
      <c r="G3348" s="623"/>
      <c r="H3348" s="623"/>
      <c r="I3348" s="618"/>
      <c r="J3348" s="618"/>
      <c r="K3348" s="618"/>
      <c r="L3348" s="618"/>
      <c r="M3348" s="618"/>
      <c r="N3348" s="618"/>
      <c r="O3348" s="618"/>
      <c r="P3348" s="618"/>
      <c r="Q3348" s="618"/>
      <c r="R3348" s="618"/>
      <c r="S3348" s="621"/>
    </row>
    <row r="3349" spans="1:19">
      <c r="A3349" s="705"/>
      <c r="B3349" s="623"/>
      <c r="C3349" s="623"/>
      <c r="D3349" s="623"/>
      <c r="E3349" s="623"/>
      <c r="F3349" s="618"/>
      <c r="G3349" s="623"/>
      <c r="H3349" s="623"/>
      <c r="I3349" s="618"/>
      <c r="J3349" s="618"/>
      <c r="K3349" s="618"/>
      <c r="L3349" s="618"/>
      <c r="M3349" s="618"/>
      <c r="N3349" s="618"/>
      <c r="O3349" s="618"/>
      <c r="P3349" s="618"/>
      <c r="Q3349" s="618"/>
      <c r="R3349" s="618"/>
      <c r="S3349" s="621"/>
    </row>
    <row r="3350" spans="1:19">
      <c r="A3350" s="705"/>
      <c r="B3350" s="623"/>
      <c r="C3350" s="623"/>
      <c r="D3350" s="623"/>
      <c r="E3350" s="623"/>
      <c r="F3350" s="618"/>
      <c r="G3350" s="623"/>
      <c r="H3350" s="623"/>
      <c r="I3350" s="618"/>
      <c r="J3350" s="618"/>
      <c r="K3350" s="618"/>
      <c r="L3350" s="618"/>
      <c r="M3350" s="618"/>
      <c r="N3350" s="618"/>
      <c r="O3350" s="618"/>
      <c r="P3350" s="618"/>
      <c r="Q3350" s="618"/>
      <c r="R3350" s="618"/>
      <c r="S3350" s="621"/>
    </row>
    <row r="3351" spans="1:19">
      <c r="A3351" s="705"/>
      <c r="B3351" s="623"/>
      <c r="C3351" s="623"/>
      <c r="D3351" s="623"/>
      <c r="E3351" s="623"/>
      <c r="F3351" s="618"/>
      <c r="G3351" s="623"/>
      <c r="H3351" s="623"/>
      <c r="I3351" s="618"/>
      <c r="J3351" s="618"/>
      <c r="K3351" s="618"/>
      <c r="L3351" s="618"/>
      <c r="M3351" s="618"/>
      <c r="N3351" s="618"/>
      <c r="O3351" s="618"/>
      <c r="P3351" s="618"/>
      <c r="Q3351" s="618"/>
      <c r="R3351" s="618"/>
      <c r="S3351" s="621"/>
    </row>
    <row r="3352" spans="1:19">
      <c r="A3352" s="705"/>
      <c r="B3352" s="623"/>
      <c r="C3352" s="623"/>
      <c r="D3352" s="623"/>
      <c r="E3352" s="623"/>
      <c r="F3352" s="618"/>
      <c r="G3352" s="623"/>
      <c r="H3352" s="623"/>
      <c r="I3352" s="618"/>
      <c r="J3352" s="618"/>
      <c r="K3352" s="618"/>
      <c r="L3352" s="618"/>
      <c r="M3352" s="618"/>
      <c r="N3352" s="618"/>
      <c r="O3352" s="618"/>
      <c r="P3352" s="618"/>
      <c r="Q3352" s="618"/>
      <c r="R3352" s="618"/>
      <c r="S3352" s="621"/>
    </row>
    <row r="3353" spans="1:19">
      <c r="A3353" s="705"/>
      <c r="B3353" s="623"/>
      <c r="C3353" s="623"/>
      <c r="D3353" s="623"/>
      <c r="E3353" s="623"/>
      <c r="F3353" s="618"/>
      <c r="G3353" s="623"/>
      <c r="H3353" s="623"/>
      <c r="I3353" s="618"/>
      <c r="J3353" s="618"/>
      <c r="K3353" s="618"/>
      <c r="L3353" s="618"/>
      <c r="M3353" s="618"/>
      <c r="N3353" s="618"/>
      <c r="O3353" s="618"/>
      <c r="P3353" s="618"/>
      <c r="Q3353" s="618"/>
      <c r="R3353" s="618"/>
      <c r="S3353" s="621"/>
    </row>
    <row r="3354" spans="1:19">
      <c r="A3354" s="705"/>
      <c r="B3354" s="623"/>
      <c r="C3354" s="623"/>
      <c r="D3354" s="623"/>
      <c r="E3354" s="623"/>
      <c r="F3354" s="618"/>
      <c r="G3354" s="623"/>
      <c r="H3354" s="623"/>
      <c r="I3354" s="618"/>
      <c r="J3354" s="618"/>
      <c r="K3354" s="618"/>
      <c r="L3354" s="618"/>
      <c r="M3354" s="618"/>
      <c r="N3354" s="618"/>
      <c r="O3354" s="618"/>
      <c r="P3354" s="618"/>
      <c r="Q3354" s="618"/>
      <c r="R3354" s="618"/>
      <c r="S3354" s="621"/>
    </row>
    <row r="3355" spans="1:19">
      <c r="A3355" s="705"/>
      <c r="B3355" s="623"/>
      <c r="C3355" s="623"/>
      <c r="D3355" s="623"/>
      <c r="E3355" s="623"/>
      <c r="F3355" s="618"/>
      <c r="G3355" s="623"/>
      <c r="H3355" s="623"/>
      <c r="I3355" s="618"/>
      <c r="J3355" s="618"/>
      <c r="K3355" s="618"/>
      <c r="L3355" s="618"/>
      <c r="M3355" s="618"/>
      <c r="N3355" s="618"/>
      <c r="O3355" s="618"/>
      <c r="P3355" s="618"/>
      <c r="Q3355" s="618"/>
      <c r="R3355" s="618"/>
      <c r="S3355" s="621"/>
    </row>
    <row r="3356" spans="1:19">
      <c r="A3356" s="705"/>
      <c r="B3356" s="623"/>
      <c r="C3356" s="623"/>
      <c r="D3356" s="623"/>
      <c r="E3356" s="623"/>
      <c r="F3356" s="618"/>
      <c r="G3356" s="623"/>
      <c r="H3356" s="623"/>
      <c r="I3356" s="618"/>
      <c r="J3356" s="618"/>
      <c r="K3356" s="618"/>
      <c r="L3356" s="618"/>
      <c r="M3356" s="618"/>
      <c r="N3356" s="618"/>
      <c r="O3356" s="618"/>
      <c r="P3356" s="618"/>
      <c r="Q3356" s="618"/>
      <c r="R3356" s="618"/>
      <c r="S3356" s="621"/>
    </row>
    <row r="3357" spans="1:19">
      <c r="A3357" s="705"/>
      <c r="B3357" s="623"/>
      <c r="C3357" s="623"/>
      <c r="D3357" s="623"/>
      <c r="E3357" s="623"/>
      <c r="F3357" s="618"/>
      <c r="G3357" s="623"/>
      <c r="H3357" s="623"/>
      <c r="I3357" s="618"/>
      <c r="J3357" s="618"/>
      <c r="K3357" s="618"/>
      <c r="L3357" s="618"/>
      <c r="M3357" s="618"/>
      <c r="N3357" s="618"/>
      <c r="O3357" s="618"/>
      <c r="P3357" s="618"/>
      <c r="Q3357" s="618"/>
      <c r="R3357" s="618"/>
      <c r="S3357" s="621"/>
    </row>
    <row r="3358" spans="1:19">
      <c r="A3358" s="705"/>
      <c r="B3358" s="623"/>
      <c r="C3358" s="623"/>
      <c r="D3358" s="623"/>
      <c r="E3358" s="623"/>
      <c r="F3358" s="618"/>
      <c r="G3358" s="623"/>
      <c r="H3358" s="623"/>
      <c r="I3358" s="618"/>
      <c r="J3358" s="618"/>
      <c r="K3358" s="618"/>
      <c r="L3358" s="618"/>
      <c r="M3358" s="618"/>
      <c r="N3358" s="618"/>
      <c r="O3358" s="618"/>
      <c r="P3358" s="618"/>
      <c r="Q3358" s="618"/>
      <c r="R3358" s="618"/>
      <c r="S3358" s="621"/>
    </row>
    <row r="3359" spans="1:19">
      <c r="A3359" s="705"/>
      <c r="B3359" s="623"/>
      <c r="C3359" s="623"/>
      <c r="D3359" s="623"/>
      <c r="E3359" s="623"/>
      <c r="F3359" s="618"/>
      <c r="G3359" s="623"/>
      <c r="H3359" s="623"/>
      <c r="I3359" s="618"/>
      <c r="J3359" s="618"/>
      <c r="K3359" s="618"/>
      <c r="L3359" s="618"/>
      <c r="M3359" s="618"/>
      <c r="N3359" s="618"/>
      <c r="O3359" s="618"/>
      <c r="P3359" s="618"/>
      <c r="Q3359" s="618"/>
      <c r="R3359" s="618"/>
      <c r="S3359" s="621"/>
    </row>
    <row r="3360" spans="1:19">
      <c r="A3360" s="705"/>
      <c r="B3360" s="623"/>
      <c r="C3360" s="623"/>
      <c r="D3360" s="623"/>
      <c r="E3360" s="623"/>
      <c r="F3360" s="618"/>
      <c r="G3360" s="623"/>
      <c r="H3360" s="623"/>
      <c r="I3360" s="618"/>
      <c r="J3360" s="618"/>
      <c r="K3360" s="618"/>
      <c r="L3360" s="618"/>
      <c r="M3360" s="618"/>
      <c r="N3360" s="618"/>
      <c r="O3360" s="618"/>
      <c r="P3360" s="618"/>
      <c r="Q3360" s="618"/>
      <c r="R3360" s="618"/>
      <c r="S3360" s="621"/>
    </row>
    <row r="3361" spans="1:19">
      <c r="A3361" s="705"/>
      <c r="B3361" s="623"/>
      <c r="C3361" s="623"/>
      <c r="D3361" s="623"/>
      <c r="E3361" s="623"/>
      <c r="F3361" s="618"/>
      <c r="G3361" s="623"/>
      <c r="H3361" s="623"/>
      <c r="I3361" s="618"/>
      <c r="J3361" s="618"/>
      <c r="K3361" s="618"/>
      <c r="L3361" s="618"/>
      <c r="M3361" s="618"/>
      <c r="N3361" s="618"/>
      <c r="O3361" s="618"/>
      <c r="P3361" s="618"/>
      <c r="Q3361" s="618"/>
      <c r="R3361" s="618"/>
      <c r="S3361" s="621"/>
    </row>
    <row r="3362" spans="1:19">
      <c r="A3362" s="705"/>
      <c r="B3362" s="623"/>
      <c r="C3362" s="623"/>
      <c r="D3362" s="623"/>
      <c r="E3362" s="623"/>
      <c r="F3362" s="618"/>
      <c r="G3362" s="623"/>
      <c r="H3362" s="623"/>
      <c r="I3362" s="618"/>
      <c r="J3362" s="618"/>
      <c r="K3362" s="618"/>
      <c r="L3362" s="618"/>
      <c r="M3362" s="618"/>
      <c r="N3362" s="618"/>
      <c r="O3362" s="618"/>
      <c r="P3362" s="618"/>
      <c r="Q3362" s="618"/>
      <c r="R3362" s="618"/>
      <c r="S3362" s="621"/>
    </row>
    <row r="3363" spans="1:19">
      <c r="A3363" s="705"/>
      <c r="B3363" s="623"/>
      <c r="C3363" s="623"/>
      <c r="D3363" s="623"/>
      <c r="E3363" s="623"/>
      <c r="F3363" s="618"/>
      <c r="G3363" s="623"/>
      <c r="H3363" s="623"/>
      <c r="I3363" s="618"/>
      <c r="J3363" s="618"/>
      <c r="K3363" s="618"/>
      <c r="L3363" s="618"/>
      <c r="M3363" s="618"/>
      <c r="N3363" s="618"/>
      <c r="O3363" s="618"/>
      <c r="P3363" s="618"/>
      <c r="Q3363" s="618"/>
      <c r="R3363" s="618"/>
      <c r="S3363" s="621"/>
    </row>
    <row r="3364" spans="1:19">
      <c r="A3364" s="705"/>
      <c r="B3364" s="623"/>
      <c r="C3364" s="623"/>
      <c r="D3364" s="623"/>
      <c r="E3364" s="623"/>
      <c r="F3364" s="618"/>
      <c r="G3364" s="623"/>
      <c r="H3364" s="623"/>
      <c r="I3364" s="618"/>
      <c r="J3364" s="618"/>
      <c r="K3364" s="618"/>
      <c r="L3364" s="618"/>
      <c r="M3364" s="618"/>
      <c r="N3364" s="618"/>
      <c r="O3364" s="618"/>
      <c r="P3364" s="618"/>
      <c r="Q3364" s="618"/>
      <c r="R3364" s="618"/>
      <c r="S3364" s="621"/>
    </row>
    <row r="3365" spans="1:19">
      <c r="A3365" s="705"/>
      <c r="B3365" s="623"/>
      <c r="C3365" s="623"/>
      <c r="D3365" s="623"/>
      <c r="E3365" s="623"/>
      <c r="F3365" s="618"/>
      <c r="G3365" s="623"/>
      <c r="H3365" s="623"/>
      <c r="I3365" s="618"/>
      <c r="J3365" s="618"/>
      <c r="K3365" s="618"/>
      <c r="L3365" s="618"/>
      <c r="M3365" s="618"/>
      <c r="N3365" s="618"/>
      <c r="O3365" s="618"/>
      <c r="P3365" s="618"/>
      <c r="Q3365" s="618"/>
      <c r="R3365" s="618"/>
      <c r="S3365" s="621"/>
    </row>
    <row r="3366" spans="1:19">
      <c r="A3366" s="705"/>
      <c r="B3366" s="623"/>
      <c r="C3366" s="623"/>
      <c r="D3366" s="623"/>
      <c r="E3366" s="623"/>
      <c r="F3366" s="618"/>
      <c r="G3366" s="623"/>
      <c r="H3366" s="623"/>
      <c r="I3366" s="618"/>
      <c r="J3366" s="618"/>
      <c r="K3366" s="618"/>
      <c r="L3366" s="618"/>
      <c r="M3366" s="618"/>
      <c r="N3366" s="618"/>
      <c r="O3366" s="618"/>
      <c r="P3366" s="618"/>
      <c r="Q3366" s="618"/>
      <c r="R3366" s="618"/>
      <c r="S3366" s="621"/>
    </row>
    <row r="3367" spans="1:19">
      <c r="A3367" s="705"/>
      <c r="B3367" s="623"/>
      <c r="C3367" s="623"/>
      <c r="D3367" s="623"/>
      <c r="E3367" s="623"/>
      <c r="F3367" s="618"/>
      <c r="G3367" s="623"/>
      <c r="H3367" s="623"/>
      <c r="I3367" s="618"/>
      <c r="J3367" s="618"/>
      <c r="K3367" s="618"/>
      <c r="L3367" s="618"/>
      <c r="M3367" s="618"/>
      <c r="N3367" s="618"/>
      <c r="O3367" s="618"/>
      <c r="P3367" s="618"/>
      <c r="Q3367" s="618"/>
      <c r="R3367" s="618"/>
      <c r="S3367" s="621"/>
    </row>
    <row r="3368" spans="1:19">
      <c r="A3368" s="705"/>
      <c r="B3368" s="623"/>
      <c r="C3368" s="623"/>
      <c r="D3368" s="623"/>
      <c r="E3368" s="623"/>
      <c r="F3368" s="618"/>
      <c r="G3368" s="623"/>
      <c r="H3368" s="623"/>
      <c r="I3368" s="618"/>
      <c r="J3368" s="618"/>
      <c r="K3368" s="618"/>
      <c r="L3368" s="618"/>
      <c r="M3368" s="618"/>
      <c r="N3368" s="618"/>
      <c r="O3368" s="618"/>
      <c r="P3368" s="618"/>
      <c r="Q3368" s="618"/>
      <c r="R3368" s="618"/>
      <c r="S3368" s="621"/>
    </row>
    <row r="3369" spans="1:19">
      <c r="A3369" s="705"/>
      <c r="B3369" s="623"/>
      <c r="C3369" s="623"/>
      <c r="D3369" s="623"/>
      <c r="E3369" s="623"/>
      <c r="F3369" s="618"/>
      <c r="G3369" s="623"/>
      <c r="H3369" s="623"/>
      <c r="I3369" s="618"/>
      <c r="J3369" s="618"/>
      <c r="K3369" s="618"/>
      <c r="L3369" s="618"/>
      <c r="M3369" s="618"/>
      <c r="N3369" s="618"/>
      <c r="O3369" s="618"/>
      <c r="P3369" s="618"/>
      <c r="Q3369" s="618"/>
      <c r="R3369" s="618"/>
      <c r="S3369" s="621"/>
    </row>
    <row r="3370" spans="1:19">
      <c r="A3370" s="705"/>
      <c r="B3370" s="623"/>
      <c r="C3370" s="623"/>
      <c r="D3370" s="623"/>
      <c r="E3370" s="623"/>
      <c r="F3370" s="618"/>
      <c r="G3370" s="623"/>
      <c r="H3370" s="623"/>
      <c r="I3370" s="618"/>
      <c r="J3370" s="618"/>
      <c r="K3370" s="618"/>
      <c r="L3370" s="618"/>
      <c r="M3370" s="618"/>
      <c r="N3370" s="618"/>
      <c r="O3370" s="618"/>
      <c r="P3370" s="618"/>
      <c r="Q3370" s="618"/>
      <c r="R3370" s="618"/>
      <c r="S3370" s="621"/>
    </row>
    <row r="3371" spans="1:19">
      <c r="A3371" s="705"/>
      <c r="B3371" s="623"/>
      <c r="C3371" s="623"/>
      <c r="D3371" s="623"/>
      <c r="E3371" s="623"/>
      <c r="F3371" s="618"/>
      <c r="G3371" s="623"/>
      <c r="H3371" s="623"/>
      <c r="I3371" s="618"/>
      <c r="J3371" s="618"/>
      <c r="K3371" s="618"/>
      <c r="L3371" s="618"/>
      <c r="M3371" s="618"/>
      <c r="N3371" s="618"/>
      <c r="O3371" s="618"/>
      <c r="P3371" s="618"/>
      <c r="Q3371" s="618"/>
      <c r="R3371" s="618"/>
      <c r="S3371" s="621"/>
    </row>
    <row r="3372" spans="1:19">
      <c r="A3372" s="705"/>
      <c r="B3372" s="623"/>
      <c r="C3372" s="623"/>
      <c r="D3372" s="623"/>
      <c r="E3372" s="623"/>
      <c r="F3372" s="618"/>
      <c r="G3372" s="623"/>
      <c r="H3372" s="623"/>
      <c r="I3372" s="618"/>
      <c r="J3372" s="618"/>
      <c r="K3372" s="618"/>
      <c r="L3372" s="618"/>
      <c r="M3372" s="618"/>
      <c r="N3372" s="618"/>
      <c r="O3372" s="618"/>
      <c r="P3372" s="618"/>
      <c r="Q3372" s="618"/>
      <c r="R3372" s="618"/>
      <c r="S3372" s="621"/>
    </row>
    <row r="3373" spans="1:19">
      <c r="A3373" s="705"/>
      <c r="B3373" s="623"/>
      <c r="C3373" s="623"/>
      <c r="D3373" s="623"/>
      <c r="E3373" s="623"/>
      <c r="F3373" s="618"/>
      <c r="G3373" s="623"/>
      <c r="H3373" s="623"/>
      <c r="I3373" s="618"/>
      <c r="J3373" s="618"/>
      <c r="K3373" s="618"/>
      <c r="L3373" s="618"/>
      <c r="M3373" s="618"/>
      <c r="N3373" s="618"/>
      <c r="O3373" s="618"/>
      <c r="P3373" s="618"/>
      <c r="Q3373" s="618"/>
      <c r="R3373" s="618"/>
      <c r="S3373" s="621"/>
    </row>
    <row r="3374" spans="1:19">
      <c r="A3374" s="705"/>
      <c r="B3374" s="623"/>
      <c r="C3374" s="623"/>
      <c r="D3374" s="623"/>
      <c r="E3374" s="623"/>
      <c r="F3374" s="618"/>
      <c r="G3374" s="623"/>
      <c r="H3374" s="623"/>
      <c r="I3374" s="618"/>
      <c r="J3374" s="618"/>
      <c r="K3374" s="618"/>
      <c r="L3374" s="618"/>
      <c r="M3374" s="618"/>
      <c r="N3374" s="618"/>
      <c r="O3374" s="618"/>
      <c r="P3374" s="618"/>
      <c r="Q3374" s="618"/>
      <c r="R3374" s="618"/>
      <c r="S3374" s="621"/>
    </row>
    <row r="3375" spans="1:19">
      <c r="A3375" s="705"/>
      <c r="B3375" s="623"/>
      <c r="C3375" s="623"/>
      <c r="D3375" s="623"/>
      <c r="E3375" s="623"/>
      <c r="F3375" s="618"/>
      <c r="G3375" s="623"/>
      <c r="H3375" s="623"/>
      <c r="I3375" s="618"/>
      <c r="J3375" s="618"/>
      <c r="K3375" s="618"/>
      <c r="L3375" s="618"/>
      <c r="M3375" s="618"/>
      <c r="N3375" s="618"/>
      <c r="O3375" s="618"/>
      <c r="P3375" s="618"/>
      <c r="Q3375" s="618"/>
      <c r="R3375" s="618"/>
      <c r="S3375" s="621"/>
    </row>
    <row r="3376" spans="1:19">
      <c r="A3376" s="705"/>
      <c r="B3376" s="623"/>
      <c r="C3376" s="623"/>
      <c r="D3376" s="623"/>
      <c r="E3376" s="623"/>
      <c r="F3376" s="618"/>
      <c r="G3376" s="623"/>
      <c r="H3376" s="623"/>
      <c r="I3376" s="618"/>
      <c r="J3376" s="618"/>
      <c r="K3376" s="618"/>
      <c r="L3376" s="618"/>
      <c r="M3376" s="618"/>
      <c r="N3376" s="618"/>
      <c r="O3376" s="618"/>
      <c r="P3376" s="618"/>
      <c r="Q3376" s="618"/>
      <c r="R3376" s="618"/>
      <c r="S3376" s="621"/>
    </row>
    <row r="3377" spans="1:19">
      <c r="A3377" s="705"/>
      <c r="B3377" s="623"/>
      <c r="C3377" s="623"/>
      <c r="D3377" s="623"/>
      <c r="E3377" s="623"/>
      <c r="F3377" s="618"/>
      <c r="G3377" s="623"/>
      <c r="H3377" s="623"/>
      <c r="I3377" s="618"/>
      <c r="J3377" s="618"/>
      <c r="K3377" s="618"/>
      <c r="L3377" s="618"/>
      <c r="M3377" s="618"/>
      <c r="N3377" s="618"/>
      <c r="O3377" s="618"/>
      <c r="P3377" s="618"/>
      <c r="Q3377" s="618"/>
      <c r="R3377" s="618"/>
      <c r="S3377" s="621"/>
    </row>
    <row r="3378" spans="1:19">
      <c r="A3378" s="705"/>
      <c r="B3378" s="623"/>
      <c r="C3378" s="623"/>
      <c r="D3378" s="623"/>
      <c r="E3378" s="623"/>
      <c r="F3378" s="618"/>
      <c r="G3378" s="623"/>
      <c r="H3378" s="623"/>
      <c r="I3378" s="618"/>
      <c r="J3378" s="618"/>
      <c r="K3378" s="618"/>
      <c r="L3378" s="618"/>
      <c r="M3378" s="618"/>
      <c r="N3378" s="618"/>
      <c r="O3378" s="618"/>
      <c r="P3378" s="618"/>
      <c r="Q3378" s="618"/>
      <c r="R3378" s="618"/>
      <c r="S3378" s="621"/>
    </row>
    <row r="3379" spans="1:19">
      <c r="A3379" s="705"/>
      <c r="B3379" s="623"/>
      <c r="C3379" s="623"/>
      <c r="D3379" s="623"/>
      <c r="E3379" s="623"/>
      <c r="F3379" s="618"/>
      <c r="G3379" s="623"/>
      <c r="H3379" s="623"/>
      <c r="I3379" s="618"/>
      <c r="J3379" s="618"/>
      <c r="K3379" s="618"/>
      <c r="L3379" s="618"/>
      <c r="M3379" s="618"/>
      <c r="N3379" s="618"/>
      <c r="O3379" s="618"/>
      <c r="P3379" s="618"/>
      <c r="Q3379" s="618"/>
      <c r="R3379" s="618"/>
      <c r="S3379" s="621"/>
    </row>
    <row r="3380" spans="1:19">
      <c r="A3380" s="705"/>
      <c r="B3380" s="623"/>
      <c r="C3380" s="623"/>
      <c r="D3380" s="623"/>
      <c r="E3380" s="623"/>
      <c r="F3380" s="618"/>
      <c r="G3380" s="623"/>
      <c r="H3380" s="623"/>
      <c r="I3380" s="618"/>
      <c r="J3380" s="618"/>
      <c r="K3380" s="618"/>
      <c r="L3380" s="618"/>
      <c r="M3380" s="618"/>
      <c r="N3380" s="618"/>
      <c r="O3380" s="618"/>
      <c r="P3380" s="618"/>
      <c r="Q3380" s="618"/>
      <c r="R3380" s="618"/>
      <c r="S3380" s="621"/>
    </row>
    <row r="3381" spans="1:19">
      <c r="A3381" s="705"/>
      <c r="B3381" s="623"/>
      <c r="C3381" s="623"/>
      <c r="D3381" s="623"/>
      <c r="E3381" s="623"/>
      <c r="F3381" s="618"/>
      <c r="G3381" s="623"/>
      <c r="H3381" s="623"/>
      <c r="I3381" s="618"/>
      <c r="J3381" s="618"/>
      <c r="K3381" s="618"/>
      <c r="L3381" s="618"/>
      <c r="M3381" s="618"/>
      <c r="N3381" s="618"/>
      <c r="O3381" s="618"/>
      <c r="P3381" s="618"/>
      <c r="Q3381" s="618"/>
      <c r="R3381" s="618"/>
      <c r="S3381" s="621"/>
    </row>
    <row r="3382" spans="1:19">
      <c r="A3382" s="705"/>
      <c r="B3382" s="623"/>
      <c r="C3382" s="623"/>
      <c r="D3382" s="623"/>
      <c r="E3382" s="623"/>
      <c r="F3382" s="618"/>
      <c r="G3382" s="623"/>
      <c r="H3382" s="623"/>
      <c r="I3382" s="618"/>
      <c r="J3382" s="618"/>
      <c r="K3382" s="618"/>
      <c r="L3382" s="618"/>
      <c r="M3382" s="618"/>
      <c r="N3382" s="618"/>
      <c r="O3382" s="618"/>
      <c r="P3382" s="618"/>
      <c r="Q3382" s="618"/>
      <c r="R3382" s="618"/>
      <c r="S3382" s="621"/>
    </row>
    <row r="3383" spans="1:19">
      <c r="A3383" s="705"/>
      <c r="B3383" s="623"/>
      <c r="C3383" s="623"/>
      <c r="D3383" s="623"/>
      <c r="E3383" s="623"/>
      <c r="F3383" s="618"/>
      <c r="G3383" s="623"/>
      <c r="H3383" s="623"/>
      <c r="I3383" s="618"/>
      <c r="J3383" s="618"/>
      <c r="K3383" s="618"/>
      <c r="L3383" s="618"/>
      <c r="M3383" s="618"/>
      <c r="N3383" s="618"/>
      <c r="O3383" s="618"/>
      <c r="P3383" s="618"/>
      <c r="Q3383" s="618"/>
      <c r="R3383" s="618"/>
      <c r="S3383" s="621"/>
    </row>
    <row r="3384" spans="1:19">
      <c r="A3384" s="705"/>
      <c r="B3384" s="623"/>
      <c r="C3384" s="623"/>
      <c r="D3384" s="623"/>
      <c r="E3384" s="623"/>
      <c r="F3384" s="618"/>
      <c r="G3384" s="623"/>
      <c r="H3384" s="623"/>
      <c r="I3384" s="618"/>
      <c r="J3384" s="618"/>
      <c r="K3384" s="618"/>
      <c r="L3384" s="618"/>
      <c r="M3384" s="618"/>
      <c r="N3384" s="618"/>
      <c r="O3384" s="618"/>
      <c r="P3384" s="618"/>
      <c r="Q3384" s="618"/>
      <c r="R3384" s="618"/>
      <c r="S3384" s="621"/>
    </row>
    <row r="3385" spans="1:19">
      <c r="A3385" s="705"/>
      <c r="B3385" s="623"/>
      <c r="C3385" s="623"/>
      <c r="D3385" s="623"/>
      <c r="E3385" s="623"/>
      <c r="F3385" s="618"/>
      <c r="G3385" s="623"/>
      <c r="H3385" s="623"/>
      <c r="I3385" s="618"/>
      <c r="J3385" s="618"/>
      <c r="K3385" s="618"/>
      <c r="L3385" s="618"/>
      <c r="M3385" s="618"/>
      <c r="N3385" s="618"/>
      <c r="O3385" s="618"/>
      <c r="P3385" s="618"/>
      <c r="Q3385" s="618"/>
      <c r="R3385" s="618"/>
      <c r="S3385" s="621"/>
    </row>
    <row r="3386" spans="1:19">
      <c r="A3386" s="705"/>
      <c r="B3386" s="623"/>
      <c r="C3386" s="623"/>
      <c r="D3386" s="623"/>
      <c r="E3386" s="623"/>
      <c r="F3386" s="618"/>
      <c r="G3386" s="623"/>
      <c r="H3386" s="623"/>
      <c r="I3386" s="618"/>
      <c r="J3386" s="618"/>
      <c r="K3386" s="618"/>
      <c r="L3386" s="618"/>
      <c r="M3386" s="618"/>
      <c r="N3386" s="618"/>
      <c r="O3386" s="618"/>
      <c r="P3386" s="618"/>
      <c r="Q3386" s="618"/>
      <c r="R3386" s="618"/>
      <c r="S3386" s="621"/>
    </row>
    <row r="3387" spans="1:19">
      <c r="A3387" s="705"/>
      <c r="B3387" s="623"/>
      <c r="C3387" s="623"/>
      <c r="D3387" s="623"/>
      <c r="E3387" s="623"/>
      <c r="F3387" s="618"/>
      <c r="G3387" s="623"/>
      <c r="H3387" s="623"/>
      <c r="I3387" s="618"/>
      <c r="J3387" s="618"/>
      <c r="K3387" s="618"/>
      <c r="L3387" s="618"/>
      <c r="M3387" s="618"/>
      <c r="N3387" s="618"/>
      <c r="O3387" s="618"/>
      <c r="P3387" s="618"/>
      <c r="Q3387" s="618"/>
      <c r="R3387" s="618"/>
      <c r="S3387" s="621"/>
    </row>
    <row r="3388" spans="1:19">
      <c r="A3388" s="705"/>
      <c r="B3388" s="623"/>
      <c r="C3388" s="623"/>
      <c r="D3388" s="623"/>
      <c r="E3388" s="623"/>
      <c r="F3388" s="618"/>
      <c r="G3388" s="623"/>
      <c r="H3388" s="623"/>
      <c r="I3388" s="618"/>
      <c r="J3388" s="618"/>
      <c r="K3388" s="618"/>
      <c r="L3388" s="618"/>
      <c r="M3388" s="618"/>
      <c r="N3388" s="618"/>
      <c r="O3388" s="618"/>
      <c r="P3388" s="618"/>
      <c r="Q3388" s="618"/>
      <c r="R3388" s="618"/>
      <c r="S3388" s="621"/>
    </row>
    <row r="3389" spans="1:19">
      <c r="A3389" s="705"/>
      <c r="B3389" s="623"/>
      <c r="C3389" s="623"/>
      <c r="D3389" s="623"/>
      <c r="E3389" s="623"/>
      <c r="F3389" s="618"/>
      <c r="G3389" s="623"/>
      <c r="H3389" s="623"/>
      <c r="I3389" s="618"/>
      <c r="J3389" s="618"/>
      <c r="K3389" s="618"/>
      <c r="L3389" s="618"/>
      <c r="M3389" s="618"/>
      <c r="N3389" s="618"/>
      <c r="O3389" s="618"/>
      <c r="P3389" s="618"/>
      <c r="Q3389" s="618"/>
      <c r="R3389" s="618"/>
      <c r="S3389" s="621"/>
    </row>
    <row r="3390" spans="1:19">
      <c r="A3390" s="705"/>
      <c r="B3390" s="623"/>
      <c r="C3390" s="623"/>
      <c r="D3390" s="623"/>
      <c r="E3390" s="623"/>
      <c r="F3390" s="618"/>
      <c r="G3390" s="623"/>
      <c r="H3390" s="623"/>
      <c r="I3390" s="618"/>
      <c r="J3390" s="618"/>
      <c r="K3390" s="618"/>
      <c r="L3390" s="618"/>
      <c r="M3390" s="618"/>
      <c r="N3390" s="618"/>
      <c r="O3390" s="618"/>
      <c r="P3390" s="618"/>
      <c r="Q3390" s="618"/>
      <c r="R3390" s="618"/>
      <c r="S3390" s="621"/>
    </row>
    <row r="3391" spans="1:19">
      <c r="A3391" s="705"/>
      <c r="B3391" s="623"/>
      <c r="C3391" s="623"/>
      <c r="D3391" s="623"/>
      <c r="E3391" s="623"/>
      <c r="F3391" s="618"/>
      <c r="G3391" s="623"/>
      <c r="H3391" s="623"/>
      <c r="I3391" s="618"/>
      <c r="J3391" s="618"/>
      <c r="K3391" s="618"/>
      <c r="L3391" s="618"/>
      <c r="M3391" s="618"/>
      <c r="N3391" s="618"/>
      <c r="O3391" s="618"/>
      <c r="P3391" s="618"/>
      <c r="Q3391" s="618"/>
      <c r="R3391" s="618"/>
      <c r="S3391" s="621"/>
    </row>
    <row r="3392" spans="1:19">
      <c r="A3392" s="705"/>
      <c r="B3392" s="623"/>
      <c r="C3392" s="623"/>
      <c r="D3392" s="623"/>
      <c r="E3392" s="623"/>
      <c r="F3392" s="618"/>
      <c r="G3392" s="623"/>
      <c r="H3392" s="623"/>
      <c r="I3392" s="618"/>
      <c r="J3392" s="618"/>
      <c r="K3392" s="618"/>
      <c r="L3392" s="618"/>
      <c r="M3392" s="618"/>
      <c r="N3392" s="618"/>
      <c r="O3392" s="618"/>
      <c r="P3392" s="618"/>
      <c r="Q3392" s="618"/>
      <c r="R3392" s="618"/>
      <c r="S3392" s="621"/>
    </row>
    <row r="3393" spans="1:19">
      <c r="A3393" s="705"/>
      <c r="B3393" s="623"/>
      <c r="C3393" s="623"/>
      <c r="D3393" s="623"/>
      <c r="E3393" s="623"/>
      <c r="F3393" s="618"/>
      <c r="G3393" s="623"/>
      <c r="H3393" s="623"/>
      <c r="I3393" s="618"/>
      <c r="J3393" s="618"/>
      <c r="K3393" s="618"/>
      <c r="L3393" s="618"/>
      <c r="M3393" s="618"/>
      <c r="N3393" s="618"/>
      <c r="O3393" s="618"/>
      <c r="P3393" s="618"/>
      <c r="Q3393" s="618"/>
      <c r="R3393" s="618"/>
      <c r="S3393" s="621"/>
    </row>
    <row r="3394" spans="1:19">
      <c r="A3394" s="705"/>
      <c r="B3394" s="623"/>
      <c r="C3394" s="623"/>
      <c r="D3394" s="623"/>
      <c r="E3394" s="623"/>
      <c r="F3394" s="618"/>
      <c r="G3394" s="623"/>
      <c r="H3394" s="623"/>
      <c r="I3394" s="618"/>
      <c r="J3394" s="618"/>
      <c r="K3394" s="618"/>
      <c r="L3394" s="618"/>
      <c r="M3394" s="618"/>
      <c r="N3394" s="618"/>
      <c r="O3394" s="618"/>
      <c r="P3394" s="618"/>
      <c r="Q3394" s="618"/>
      <c r="R3394" s="618"/>
      <c r="S3394" s="621"/>
    </row>
    <row r="3395" spans="1:19">
      <c r="A3395" s="705"/>
      <c r="B3395" s="623"/>
      <c r="C3395" s="623"/>
      <c r="D3395" s="623"/>
      <c r="E3395" s="623"/>
      <c r="F3395" s="618"/>
      <c r="G3395" s="623"/>
      <c r="H3395" s="623"/>
      <c r="I3395" s="618"/>
      <c r="J3395" s="618"/>
      <c r="K3395" s="618"/>
      <c r="L3395" s="618"/>
      <c r="M3395" s="618"/>
      <c r="N3395" s="618"/>
      <c r="O3395" s="618"/>
      <c r="P3395" s="618"/>
      <c r="Q3395" s="618"/>
      <c r="R3395" s="618"/>
      <c r="S3395" s="621"/>
    </row>
    <row r="3396" spans="1:19">
      <c r="A3396" s="705"/>
      <c r="B3396" s="623"/>
      <c r="C3396" s="623"/>
      <c r="D3396" s="623"/>
      <c r="E3396" s="623"/>
      <c r="F3396" s="618"/>
      <c r="G3396" s="623"/>
      <c r="H3396" s="623"/>
      <c r="I3396" s="618"/>
      <c r="J3396" s="618"/>
      <c r="K3396" s="618"/>
      <c r="L3396" s="618"/>
      <c r="M3396" s="618"/>
      <c r="N3396" s="618"/>
      <c r="O3396" s="618"/>
      <c r="P3396" s="618"/>
      <c r="Q3396" s="618"/>
      <c r="R3396" s="618"/>
      <c r="S3396" s="621"/>
    </row>
    <row r="3397" spans="1:19">
      <c r="A3397" s="705"/>
      <c r="B3397" s="623"/>
      <c r="C3397" s="623"/>
      <c r="D3397" s="623"/>
      <c r="E3397" s="623"/>
      <c r="F3397" s="618"/>
      <c r="G3397" s="623"/>
      <c r="H3397" s="623"/>
      <c r="I3397" s="618"/>
      <c r="J3397" s="618"/>
      <c r="K3397" s="618"/>
      <c r="L3397" s="618"/>
      <c r="M3397" s="618"/>
      <c r="N3397" s="618"/>
      <c r="O3397" s="618"/>
      <c r="P3397" s="618"/>
      <c r="Q3397" s="618"/>
      <c r="R3397" s="618"/>
      <c r="S3397" s="621"/>
    </row>
    <row r="3398" spans="1:19">
      <c r="A3398" s="705"/>
      <c r="B3398" s="623"/>
      <c r="C3398" s="623"/>
      <c r="D3398" s="623"/>
      <c r="E3398" s="623"/>
      <c r="F3398" s="618"/>
      <c r="G3398" s="623"/>
      <c r="H3398" s="623"/>
      <c r="I3398" s="618"/>
      <c r="J3398" s="618"/>
      <c r="K3398" s="618"/>
      <c r="L3398" s="618"/>
      <c r="M3398" s="618"/>
      <c r="N3398" s="618"/>
      <c r="O3398" s="618"/>
      <c r="P3398" s="618"/>
      <c r="Q3398" s="618"/>
      <c r="R3398" s="618"/>
      <c r="S3398" s="621"/>
    </row>
    <row r="3399" spans="1:19">
      <c r="A3399" s="705"/>
      <c r="B3399" s="623"/>
      <c r="C3399" s="623"/>
      <c r="D3399" s="623"/>
      <c r="E3399" s="623"/>
      <c r="F3399" s="618"/>
      <c r="G3399" s="623"/>
      <c r="H3399" s="623"/>
      <c r="I3399" s="618"/>
      <c r="J3399" s="618"/>
      <c r="K3399" s="618"/>
      <c r="L3399" s="618"/>
      <c r="M3399" s="618"/>
      <c r="N3399" s="618"/>
      <c r="O3399" s="618"/>
      <c r="P3399" s="618"/>
      <c r="Q3399" s="618"/>
      <c r="R3399" s="618"/>
      <c r="S3399" s="621"/>
    </row>
    <row r="3400" spans="1:19">
      <c r="A3400" s="705"/>
      <c r="B3400" s="623"/>
      <c r="C3400" s="623"/>
      <c r="D3400" s="623"/>
      <c r="E3400" s="623"/>
      <c r="F3400" s="618"/>
      <c r="G3400" s="623"/>
      <c r="H3400" s="623"/>
      <c r="I3400" s="618"/>
      <c r="J3400" s="618"/>
      <c r="K3400" s="618"/>
      <c r="L3400" s="618"/>
      <c r="M3400" s="618"/>
      <c r="N3400" s="618"/>
      <c r="O3400" s="618"/>
      <c r="P3400" s="618"/>
      <c r="Q3400" s="618"/>
      <c r="R3400" s="618"/>
      <c r="S3400" s="621"/>
    </row>
    <row r="3401" spans="1:19">
      <c r="A3401" s="705"/>
      <c r="B3401" s="623"/>
      <c r="C3401" s="623"/>
      <c r="D3401" s="623"/>
      <c r="E3401" s="623"/>
      <c r="F3401" s="618"/>
      <c r="G3401" s="623"/>
      <c r="H3401" s="623"/>
      <c r="I3401" s="618"/>
      <c r="J3401" s="618"/>
      <c r="K3401" s="618"/>
      <c r="L3401" s="618"/>
      <c r="M3401" s="618"/>
      <c r="N3401" s="618"/>
      <c r="O3401" s="618"/>
      <c r="P3401" s="618"/>
      <c r="Q3401" s="618"/>
      <c r="R3401" s="618"/>
      <c r="S3401" s="621"/>
    </row>
    <row r="3402" spans="1:19">
      <c r="A3402" s="705"/>
      <c r="B3402" s="623"/>
      <c r="C3402" s="623"/>
      <c r="D3402" s="623"/>
      <c r="E3402" s="623"/>
      <c r="F3402" s="618"/>
      <c r="G3402" s="623"/>
      <c r="H3402" s="623"/>
      <c r="I3402" s="618"/>
      <c r="J3402" s="618"/>
      <c r="K3402" s="618"/>
      <c r="L3402" s="618"/>
      <c r="M3402" s="618"/>
      <c r="N3402" s="618"/>
      <c r="O3402" s="618"/>
      <c r="P3402" s="618"/>
      <c r="Q3402" s="618"/>
      <c r="R3402" s="618"/>
      <c r="S3402" s="621"/>
    </row>
    <row r="3403" spans="1:19">
      <c r="A3403" s="705"/>
      <c r="B3403" s="623"/>
      <c r="C3403" s="623"/>
      <c r="D3403" s="623"/>
      <c r="E3403" s="623"/>
      <c r="F3403" s="618"/>
      <c r="G3403" s="623"/>
      <c r="H3403" s="623"/>
      <c r="I3403" s="618"/>
      <c r="J3403" s="618"/>
      <c r="K3403" s="618"/>
      <c r="L3403" s="618"/>
      <c r="M3403" s="618"/>
      <c r="N3403" s="618"/>
      <c r="O3403" s="618"/>
      <c r="P3403" s="618"/>
      <c r="Q3403" s="618"/>
      <c r="R3403" s="618"/>
      <c r="S3403" s="621"/>
    </row>
    <row r="3404" spans="1:19">
      <c r="A3404" s="705"/>
      <c r="B3404" s="623"/>
      <c r="C3404" s="623"/>
      <c r="D3404" s="623"/>
      <c r="E3404" s="623"/>
      <c r="F3404" s="618"/>
      <c r="G3404" s="623"/>
      <c r="H3404" s="623"/>
      <c r="I3404" s="618"/>
      <c r="J3404" s="618"/>
      <c r="K3404" s="618"/>
      <c r="L3404" s="618"/>
      <c r="M3404" s="618"/>
      <c r="N3404" s="618"/>
      <c r="O3404" s="618"/>
      <c r="P3404" s="618"/>
      <c r="Q3404" s="618"/>
      <c r="R3404" s="618"/>
      <c r="S3404" s="621"/>
    </row>
    <row r="3405" spans="1:19">
      <c r="A3405" s="705"/>
      <c r="B3405" s="623"/>
      <c r="C3405" s="623"/>
      <c r="D3405" s="623"/>
      <c r="E3405" s="623"/>
      <c r="F3405" s="618"/>
      <c r="G3405" s="623"/>
      <c r="H3405" s="623"/>
      <c r="I3405" s="618"/>
      <c r="J3405" s="618"/>
      <c r="K3405" s="618"/>
      <c r="L3405" s="618"/>
      <c r="M3405" s="618"/>
      <c r="N3405" s="618"/>
      <c r="O3405" s="618"/>
      <c r="P3405" s="618"/>
      <c r="Q3405" s="618"/>
      <c r="R3405" s="618"/>
      <c r="S3405" s="621"/>
    </row>
    <row r="3406" spans="1:19">
      <c r="A3406" s="705"/>
      <c r="B3406" s="623"/>
      <c r="C3406" s="623"/>
      <c r="D3406" s="623"/>
      <c r="E3406" s="623"/>
      <c r="F3406" s="618"/>
      <c r="G3406" s="623"/>
      <c r="H3406" s="623"/>
      <c r="I3406" s="618"/>
      <c r="J3406" s="618"/>
      <c r="K3406" s="618"/>
      <c r="L3406" s="618"/>
      <c r="M3406" s="618"/>
      <c r="N3406" s="618"/>
      <c r="O3406" s="618"/>
      <c r="P3406" s="618"/>
      <c r="Q3406" s="618"/>
      <c r="R3406" s="618"/>
      <c r="S3406" s="621"/>
    </row>
    <row r="3407" spans="1:19">
      <c r="A3407" s="705"/>
      <c r="B3407" s="623"/>
      <c r="C3407" s="623"/>
      <c r="D3407" s="623"/>
      <c r="E3407" s="623"/>
      <c r="F3407" s="618"/>
      <c r="G3407" s="623"/>
      <c r="H3407" s="623"/>
      <c r="I3407" s="618"/>
      <c r="J3407" s="618"/>
      <c r="K3407" s="618"/>
      <c r="L3407" s="618"/>
      <c r="M3407" s="618"/>
      <c r="N3407" s="618"/>
      <c r="O3407" s="618"/>
      <c r="P3407" s="618"/>
      <c r="Q3407" s="618"/>
      <c r="R3407" s="618"/>
      <c r="S3407" s="621"/>
    </row>
    <row r="3408" spans="1:19">
      <c r="A3408" s="705"/>
      <c r="B3408" s="623"/>
      <c r="C3408" s="623"/>
      <c r="D3408" s="623"/>
      <c r="E3408" s="623"/>
      <c r="F3408" s="618"/>
      <c r="G3408" s="623"/>
      <c r="H3408" s="623"/>
      <c r="I3408" s="618"/>
      <c r="J3408" s="618"/>
      <c r="K3408" s="618"/>
      <c r="L3408" s="618"/>
      <c r="M3408" s="618"/>
      <c r="N3408" s="618"/>
      <c r="O3408" s="618"/>
      <c r="P3408" s="618"/>
      <c r="Q3408" s="618"/>
      <c r="R3408" s="618"/>
      <c r="S3408" s="621"/>
    </row>
    <row r="3409" spans="1:19">
      <c r="A3409" s="705"/>
      <c r="B3409" s="623"/>
      <c r="C3409" s="623"/>
      <c r="D3409" s="623"/>
      <c r="E3409" s="623"/>
      <c r="F3409" s="618"/>
      <c r="G3409" s="623"/>
      <c r="H3409" s="623"/>
      <c r="I3409" s="618"/>
      <c r="J3409" s="618"/>
      <c r="K3409" s="618"/>
      <c r="L3409" s="618"/>
      <c r="M3409" s="618"/>
      <c r="N3409" s="618"/>
      <c r="O3409" s="618"/>
      <c r="P3409" s="618"/>
      <c r="Q3409" s="618"/>
      <c r="R3409" s="618"/>
      <c r="S3409" s="621"/>
    </row>
    <row r="3410" spans="1:19">
      <c r="A3410" s="705"/>
      <c r="B3410" s="623"/>
      <c r="C3410" s="623"/>
      <c r="D3410" s="623"/>
      <c r="E3410" s="623"/>
      <c r="F3410" s="618"/>
      <c r="G3410" s="623"/>
      <c r="H3410" s="623"/>
      <c r="I3410" s="618"/>
      <c r="J3410" s="618"/>
      <c r="K3410" s="618"/>
      <c r="L3410" s="618"/>
      <c r="M3410" s="618"/>
      <c r="N3410" s="618"/>
      <c r="O3410" s="618"/>
      <c r="P3410" s="618"/>
      <c r="Q3410" s="618"/>
      <c r="R3410" s="618"/>
      <c r="S3410" s="621"/>
    </row>
    <row r="3411" spans="1:19">
      <c r="A3411" s="705"/>
      <c r="B3411" s="623"/>
      <c r="C3411" s="623"/>
      <c r="D3411" s="623"/>
      <c r="E3411" s="623"/>
      <c r="F3411" s="618"/>
      <c r="G3411" s="623"/>
      <c r="H3411" s="623"/>
      <c r="I3411" s="618"/>
      <c r="J3411" s="618"/>
      <c r="K3411" s="618"/>
      <c r="L3411" s="618"/>
      <c r="M3411" s="618"/>
      <c r="N3411" s="618"/>
      <c r="O3411" s="618"/>
      <c r="P3411" s="618"/>
      <c r="Q3411" s="618"/>
      <c r="R3411" s="618"/>
      <c r="S3411" s="621"/>
    </row>
    <row r="3412" spans="1:19">
      <c r="A3412" s="705"/>
      <c r="B3412" s="623"/>
      <c r="C3412" s="623"/>
      <c r="D3412" s="623"/>
      <c r="E3412" s="623"/>
      <c r="F3412" s="618"/>
      <c r="G3412" s="623"/>
      <c r="H3412" s="623"/>
      <c r="I3412" s="618"/>
      <c r="J3412" s="618"/>
      <c r="K3412" s="618"/>
      <c r="L3412" s="618"/>
      <c r="M3412" s="618"/>
      <c r="N3412" s="618"/>
      <c r="O3412" s="618"/>
      <c r="P3412" s="618"/>
      <c r="Q3412" s="618"/>
      <c r="R3412" s="618"/>
      <c r="S3412" s="621"/>
    </row>
    <row r="3413" spans="1:19">
      <c r="A3413" s="705"/>
      <c r="B3413" s="623"/>
      <c r="C3413" s="623"/>
      <c r="D3413" s="623"/>
      <c r="E3413" s="623"/>
      <c r="F3413" s="618"/>
      <c r="G3413" s="623"/>
      <c r="H3413" s="623"/>
      <c r="I3413" s="618"/>
      <c r="J3413" s="618"/>
      <c r="K3413" s="618"/>
      <c r="L3413" s="618"/>
      <c r="M3413" s="618"/>
      <c r="N3413" s="618"/>
      <c r="O3413" s="618"/>
      <c r="P3413" s="618"/>
      <c r="Q3413" s="618"/>
      <c r="R3413" s="618"/>
      <c r="S3413" s="621"/>
    </row>
    <row r="3414" spans="1:19">
      <c r="A3414" s="705"/>
      <c r="B3414" s="623"/>
      <c r="C3414" s="623"/>
      <c r="D3414" s="623"/>
      <c r="E3414" s="623"/>
      <c r="F3414" s="618"/>
      <c r="G3414" s="623"/>
      <c r="H3414" s="623"/>
      <c r="I3414" s="618"/>
      <c r="J3414" s="618"/>
      <c r="K3414" s="618"/>
      <c r="L3414" s="618"/>
      <c r="M3414" s="618"/>
      <c r="N3414" s="618"/>
      <c r="O3414" s="618"/>
      <c r="P3414" s="618"/>
      <c r="Q3414" s="618"/>
      <c r="R3414" s="618"/>
      <c r="S3414" s="621"/>
    </row>
    <row r="3415" spans="1:19">
      <c r="A3415" s="705"/>
      <c r="B3415" s="623"/>
      <c r="C3415" s="623"/>
      <c r="D3415" s="623"/>
      <c r="E3415" s="623"/>
      <c r="F3415" s="618"/>
      <c r="G3415" s="623"/>
      <c r="H3415" s="623"/>
      <c r="I3415" s="618"/>
      <c r="J3415" s="618"/>
      <c r="K3415" s="618"/>
      <c r="L3415" s="618"/>
      <c r="M3415" s="618"/>
      <c r="N3415" s="618"/>
      <c r="O3415" s="618"/>
      <c r="P3415" s="618"/>
      <c r="Q3415" s="618"/>
      <c r="R3415" s="618"/>
      <c r="S3415" s="621"/>
    </row>
    <row r="3416" spans="1:19">
      <c r="A3416" s="705"/>
      <c r="B3416" s="623"/>
      <c r="C3416" s="623"/>
      <c r="D3416" s="623"/>
      <c r="E3416" s="623"/>
      <c r="F3416" s="618"/>
      <c r="G3416" s="623"/>
      <c r="H3416" s="623"/>
      <c r="I3416" s="618"/>
      <c r="J3416" s="618"/>
      <c r="K3416" s="618"/>
      <c r="L3416" s="618"/>
      <c r="M3416" s="618"/>
      <c r="N3416" s="618"/>
      <c r="O3416" s="618"/>
      <c r="P3416" s="618"/>
      <c r="Q3416" s="618"/>
      <c r="R3416" s="618"/>
      <c r="S3416" s="621"/>
    </row>
    <row r="3417" spans="1:19">
      <c r="A3417" s="705"/>
      <c r="B3417" s="623"/>
      <c r="C3417" s="623"/>
      <c r="D3417" s="623"/>
      <c r="E3417" s="623"/>
      <c r="F3417" s="618"/>
      <c r="G3417" s="623"/>
      <c r="H3417" s="623"/>
      <c r="I3417" s="618"/>
      <c r="J3417" s="618"/>
      <c r="K3417" s="618"/>
      <c r="L3417" s="618"/>
      <c r="M3417" s="618"/>
      <c r="N3417" s="618"/>
      <c r="O3417" s="618"/>
      <c r="P3417" s="618"/>
      <c r="Q3417" s="618"/>
      <c r="R3417" s="618"/>
      <c r="S3417" s="621"/>
    </row>
    <row r="3418" spans="1:19">
      <c r="A3418" s="705"/>
      <c r="B3418" s="623"/>
      <c r="C3418" s="623"/>
      <c r="D3418" s="623"/>
      <c r="E3418" s="623"/>
      <c r="F3418" s="618"/>
      <c r="G3418" s="623"/>
      <c r="H3418" s="623"/>
      <c r="I3418" s="618"/>
      <c r="J3418" s="618"/>
      <c r="K3418" s="618"/>
      <c r="L3418" s="618"/>
      <c r="M3418" s="618"/>
      <c r="N3418" s="618"/>
      <c r="O3418" s="618"/>
      <c r="P3418" s="618"/>
      <c r="Q3418" s="618"/>
      <c r="R3418" s="618"/>
      <c r="S3418" s="621"/>
    </row>
    <row r="3419" spans="1:19">
      <c r="A3419" s="705"/>
      <c r="B3419" s="623"/>
      <c r="C3419" s="623"/>
      <c r="D3419" s="623"/>
      <c r="E3419" s="623"/>
      <c r="F3419" s="618"/>
      <c r="G3419" s="623"/>
      <c r="H3419" s="623"/>
      <c r="I3419" s="618"/>
      <c r="J3419" s="618"/>
      <c r="K3419" s="618"/>
      <c r="L3419" s="618"/>
      <c r="M3419" s="618"/>
      <c r="N3419" s="618"/>
      <c r="O3419" s="618"/>
      <c r="P3419" s="618"/>
      <c r="Q3419" s="618"/>
      <c r="R3419" s="618"/>
      <c r="S3419" s="621"/>
    </row>
    <row r="3420" spans="1:19">
      <c r="A3420" s="705"/>
      <c r="B3420" s="623"/>
      <c r="C3420" s="623"/>
      <c r="D3420" s="623"/>
      <c r="E3420" s="623"/>
      <c r="F3420" s="618"/>
      <c r="G3420" s="623"/>
      <c r="H3420" s="623"/>
      <c r="I3420" s="618"/>
      <c r="J3420" s="618"/>
      <c r="K3420" s="618"/>
      <c r="L3420" s="618"/>
      <c r="M3420" s="618"/>
      <c r="N3420" s="618"/>
      <c r="O3420" s="618"/>
      <c r="P3420" s="618"/>
      <c r="Q3420" s="618"/>
      <c r="R3420" s="618"/>
      <c r="S3420" s="621"/>
    </row>
    <row r="3421" spans="1:19">
      <c r="A3421" s="705"/>
      <c r="B3421" s="623"/>
      <c r="C3421" s="623"/>
      <c r="D3421" s="623"/>
      <c r="E3421" s="623"/>
      <c r="F3421" s="618"/>
      <c r="G3421" s="623"/>
      <c r="H3421" s="623"/>
      <c r="I3421" s="618"/>
      <c r="J3421" s="618"/>
      <c r="K3421" s="618"/>
      <c r="L3421" s="618"/>
      <c r="M3421" s="618"/>
      <c r="N3421" s="618"/>
      <c r="O3421" s="618"/>
      <c r="P3421" s="618"/>
      <c r="Q3421" s="618"/>
      <c r="R3421" s="618"/>
      <c r="S3421" s="621"/>
    </row>
    <row r="3422" spans="1:19">
      <c r="A3422" s="705"/>
      <c r="B3422" s="623"/>
      <c r="C3422" s="623"/>
      <c r="D3422" s="623"/>
      <c r="E3422" s="623"/>
      <c r="F3422" s="618"/>
      <c r="G3422" s="623"/>
      <c r="H3422" s="623"/>
      <c r="I3422" s="618"/>
      <c r="J3422" s="618"/>
      <c r="K3422" s="618"/>
      <c r="L3422" s="618"/>
      <c r="M3422" s="618"/>
      <c r="N3422" s="618"/>
      <c r="O3422" s="618"/>
      <c r="P3422" s="618"/>
      <c r="Q3422" s="618"/>
      <c r="R3422" s="618"/>
      <c r="S3422" s="621"/>
    </row>
    <row r="3423" spans="1:19">
      <c r="A3423" s="705"/>
      <c r="B3423" s="623"/>
      <c r="C3423" s="623"/>
      <c r="D3423" s="623"/>
      <c r="E3423" s="623"/>
      <c r="F3423" s="618"/>
      <c r="G3423" s="623"/>
      <c r="H3423" s="623"/>
      <c r="I3423" s="618"/>
      <c r="J3423" s="618"/>
      <c r="K3423" s="618"/>
      <c r="L3423" s="618"/>
      <c r="M3423" s="618"/>
      <c r="N3423" s="618"/>
      <c r="O3423" s="618"/>
      <c r="P3423" s="618"/>
      <c r="Q3423" s="618"/>
      <c r="R3423" s="618"/>
      <c r="S3423" s="621"/>
    </row>
    <row r="3424" spans="1:19">
      <c r="A3424" s="705"/>
      <c r="B3424" s="623"/>
      <c r="C3424" s="623"/>
      <c r="D3424" s="623"/>
      <c r="E3424" s="623"/>
      <c r="F3424" s="618"/>
      <c r="G3424" s="623"/>
      <c r="H3424" s="623"/>
      <c r="I3424" s="618"/>
      <c r="J3424" s="618"/>
      <c r="K3424" s="618"/>
      <c r="L3424" s="618"/>
      <c r="M3424" s="618"/>
      <c r="N3424" s="618"/>
      <c r="O3424" s="618"/>
      <c r="P3424" s="618"/>
      <c r="Q3424" s="618"/>
      <c r="R3424" s="618"/>
      <c r="S3424" s="621"/>
    </row>
    <row r="3425" spans="1:19">
      <c r="A3425" s="705"/>
      <c r="B3425" s="623"/>
      <c r="C3425" s="623"/>
      <c r="D3425" s="623"/>
      <c r="E3425" s="623"/>
      <c r="F3425" s="618"/>
      <c r="G3425" s="623"/>
      <c r="H3425" s="623"/>
      <c r="I3425" s="618"/>
      <c r="J3425" s="618"/>
      <c r="K3425" s="618"/>
      <c r="L3425" s="618"/>
      <c r="M3425" s="618"/>
      <c r="N3425" s="618"/>
      <c r="O3425" s="618"/>
      <c r="P3425" s="618"/>
      <c r="Q3425" s="618"/>
      <c r="R3425" s="618"/>
      <c r="S3425" s="621"/>
    </row>
    <row r="3426" spans="1:19">
      <c r="A3426" s="705"/>
      <c r="B3426" s="623"/>
      <c r="C3426" s="623"/>
      <c r="D3426" s="623"/>
      <c r="E3426" s="623"/>
      <c r="F3426" s="618"/>
      <c r="G3426" s="623"/>
      <c r="H3426" s="623"/>
      <c r="I3426" s="618"/>
      <c r="J3426" s="618"/>
      <c r="K3426" s="618"/>
      <c r="L3426" s="618"/>
      <c r="M3426" s="618"/>
      <c r="N3426" s="618"/>
      <c r="O3426" s="618"/>
      <c r="P3426" s="618"/>
      <c r="Q3426" s="618"/>
      <c r="R3426" s="618"/>
      <c r="S3426" s="621"/>
    </row>
    <row r="3427" spans="1:19">
      <c r="A3427" s="705"/>
      <c r="B3427" s="623"/>
      <c r="C3427" s="623"/>
      <c r="D3427" s="623"/>
      <c r="E3427" s="623"/>
      <c r="F3427" s="618"/>
      <c r="G3427" s="623"/>
      <c r="H3427" s="623"/>
      <c r="I3427" s="618"/>
      <c r="J3427" s="618"/>
      <c r="K3427" s="618"/>
      <c r="L3427" s="618"/>
      <c r="M3427" s="618"/>
      <c r="N3427" s="618"/>
      <c r="O3427" s="618"/>
      <c r="P3427" s="618"/>
      <c r="Q3427" s="618"/>
      <c r="R3427" s="618"/>
      <c r="S3427" s="621"/>
    </row>
    <row r="3428" spans="1:19">
      <c r="A3428" s="705"/>
      <c r="B3428" s="623"/>
      <c r="C3428" s="623"/>
      <c r="D3428" s="623"/>
      <c r="E3428" s="623"/>
      <c r="F3428" s="618"/>
      <c r="G3428" s="623"/>
      <c r="H3428" s="623"/>
      <c r="I3428" s="618"/>
      <c r="J3428" s="618"/>
      <c r="K3428" s="618"/>
      <c r="L3428" s="618"/>
      <c r="M3428" s="618"/>
      <c r="N3428" s="618"/>
      <c r="O3428" s="618"/>
      <c r="P3428" s="618"/>
      <c r="Q3428" s="618"/>
      <c r="R3428" s="618"/>
      <c r="S3428" s="621"/>
    </row>
    <row r="3429" spans="1:19">
      <c r="A3429" s="705"/>
      <c r="B3429" s="623"/>
      <c r="C3429" s="623"/>
      <c r="D3429" s="623"/>
      <c r="E3429" s="623"/>
      <c r="F3429" s="618"/>
      <c r="G3429" s="623"/>
      <c r="H3429" s="623"/>
      <c r="I3429" s="618"/>
      <c r="J3429" s="618"/>
      <c r="K3429" s="618"/>
      <c r="L3429" s="618"/>
      <c r="M3429" s="618"/>
      <c r="N3429" s="618"/>
      <c r="O3429" s="618"/>
      <c r="P3429" s="618"/>
      <c r="Q3429" s="618"/>
      <c r="R3429" s="618"/>
      <c r="S3429" s="621"/>
    </row>
    <row r="3430" spans="1:19">
      <c r="A3430" s="705"/>
      <c r="B3430" s="623"/>
      <c r="C3430" s="623"/>
      <c r="D3430" s="623"/>
      <c r="E3430" s="623"/>
      <c r="F3430" s="618"/>
      <c r="G3430" s="623"/>
      <c r="H3430" s="623"/>
      <c r="I3430" s="618"/>
      <c r="J3430" s="618"/>
      <c r="K3430" s="618"/>
      <c r="L3430" s="618"/>
      <c r="M3430" s="618"/>
      <c r="N3430" s="618"/>
      <c r="O3430" s="618"/>
      <c r="P3430" s="618"/>
      <c r="Q3430" s="618"/>
      <c r="R3430" s="618"/>
      <c r="S3430" s="621"/>
    </row>
    <row r="3431" spans="1:19">
      <c r="A3431" s="705"/>
      <c r="B3431" s="623"/>
      <c r="C3431" s="623"/>
      <c r="D3431" s="623"/>
      <c r="E3431" s="623"/>
      <c r="F3431" s="618"/>
      <c r="G3431" s="623"/>
      <c r="H3431" s="623"/>
      <c r="I3431" s="618"/>
      <c r="J3431" s="618"/>
      <c r="K3431" s="618"/>
      <c r="L3431" s="618"/>
      <c r="M3431" s="618"/>
      <c r="N3431" s="618"/>
      <c r="O3431" s="618"/>
      <c r="P3431" s="618"/>
      <c r="Q3431" s="618"/>
      <c r="R3431" s="618"/>
      <c r="S3431" s="621"/>
    </row>
    <row r="3432" spans="1:19">
      <c r="A3432" s="705"/>
      <c r="B3432" s="623"/>
      <c r="C3432" s="623"/>
      <c r="D3432" s="623"/>
      <c r="E3432" s="623"/>
      <c r="F3432" s="618"/>
      <c r="G3432" s="623"/>
      <c r="H3432" s="623"/>
      <c r="I3432" s="618"/>
      <c r="J3432" s="618"/>
      <c r="K3432" s="618"/>
      <c r="L3432" s="618"/>
      <c r="M3432" s="618"/>
      <c r="N3432" s="618"/>
      <c r="O3432" s="618"/>
      <c r="P3432" s="618"/>
      <c r="Q3432" s="618"/>
      <c r="R3432" s="618"/>
      <c r="S3432" s="621"/>
    </row>
    <row r="3433" spans="1:19">
      <c r="A3433" s="705"/>
      <c r="B3433" s="623"/>
      <c r="C3433" s="623"/>
      <c r="D3433" s="623"/>
      <c r="E3433" s="623"/>
      <c r="F3433" s="618"/>
      <c r="G3433" s="623"/>
      <c r="H3433" s="623"/>
      <c r="I3433" s="618"/>
      <c r="J3433" s="618"/>
      <c r="K3433" s="618"/>
      <c r="L3433" s="618"/>
      <c r="M3433" s="618"/>
      <c r="N3433" s="618"/>
      <c r="O3433" s="618"/>
      <c r="P3433" s="618"/>
      <c r="Q3433" s="618"/>
      <c r="R3433" s="618"/>
      <c r="S3433" s="621"/>
    </row>
    <row r="3434" spans="1:19">
      <c r="A3434" s="705"/>
      <c r="B3434" s="623"/>
      <c r="C3434" s="623"/>
      <c r="D3434" s="623"/>
      <c r="E3434" s="623"/>
      <c r="F3434" s="618"/>
      <c r="G3434" s="623"/>
      <c r="H3434" s="623"/>
      <c r="I3434" s="618"/>
      <c r="J3434" s="618"/>
      <c r="K3434" s="618"/>
      <c r="L3434" s="618"/>
      <c r="M3434" s="618"/>
      <c r="N3434" s="618"/>
      <c r="O3434" s="618"/>
      <c r="P3434" s="618"/>
      <c r="Q3434" s="618"/>
      <c r="R3434" s="618"/>
      <c r="S3434" s="621"/>
    </row>
    <row r="3435" spans="1:19">
      <c r="A3435" s="705"/>
      <c r="B3435" s="623"/>
      <c r="C3435" s="623"/>
      <c r="D3435" s="623"/>
      <c r="E3435" s="623"/>
      <c r="F3435" s="618"/>
      <c r="G3435" s="623"/>
      <c r="H3435" s="623"/>
      <c r="I3435" s="618"/>
      <c r="J3435" s="618"/>
      <c r="K3435" s="618"/>
      <c r="L3435" s="618"/>
      <c r="M3435" s="618"/>
      <c r="N3435" s="618"/>
      <c r="O3435" s="618"/>
      <c r="P3435" s="618"/>
      <c r="Q3435" s="618"/>
      <c r="R3435" s="618"/>
      <c r="S3435" s="621"/>
    </row>
    <row r="3436" spans="1:19">
      <c r="A3436" s="705"/>
      <c r="B3436" s="623"/>
      <c r="C3436" s="623"/>
      <c r="D3436" s="623"/>
      <c r="E3436" s="623"/>
      <c r="F3436" s="618"/>
      <c r="G3436" s="623"/>
      <c r="H3436" s="623"/>
      <c r="I3436" s="618"/>
      <c r="J3436" s="618"/>
      <c r="K3436" s="618"/>
      <c r="L3436" s="618"/>
      <c r="M3436" s="618"/>
      <c r="N3436" s="618"/>
      <c r="O3436" s="618"/>
      <c r="P3436" s="618"/>
      <c r="Q3436" s="618"/>
      <c r="R3436" s="618"/>
      <c r="S3436" s="621"/>
    </row>
    <row r="3437" spans="1:19">
      <c r="A3437" s="705"/>
      <c r="B3437" s="623"/>
      <c r="C3437" s="623"/>
      <c r="D3437" s="623"/>
      <c r="E3437" s="623"/>
      <c r="F3437" s="618"/>
      <c r="G3437" s="623"/>
      <c r="H3437" s="623"/>
      <c r="I3437" s="618"/>
      <c r="J3437" s="618"/>
      <c r="K3437" s="618"/>
      <c r="L3437" s="618"/>
      <c r="M3437" s="618"/>
      <c r="N3437" s="618"/>
      <c r="O3437" s="618"/>
      <c r="P3437" s="618"/>
      <c r="Q3437" s="618"/>
      <c r="R3437" s="618"/>
      <c r="S3437" s="621"/>
    </row>
    <row r="3438" spans="1:19">
      <c r="A3438" s="705"/>
      <c r="B3438" s="623"/>
      <c r="C3438" s="623"/>
      <c r="D3438" s="623"/>
      <c r="E3438" s="623"/>
      <c r="F3438" s="618"/>
      <c r="G3438" s="623"/>
      <c r="H3438" s="623"/>
      <c r="I3438" s="618"/>
      <c r="J3438" s="618"/>
      <c r="K3438" s="618"/>
      <c r="L3438" s="618"/>
      <c r="M3438" s="618"/>
      <c r="N3438" s="618"/>
      <c r="O3438" s="618"/>
      <c r="P3438" s="618"/>
      <c r="Q3438" s="618"/>
      <c r="R3438" s="618"/>
      <c r="S3438" s="621"/>
    </row>
    <row r="3439" spans="1:19">
      <c r="A3439" s="705"/>
      <c r="B3439" s="623"/>
      <c r="C3439" s="623"/>
      <c r="D3439" s="623"/>
      <c r="E3439" s="623"/>
      <c r="F3439" s="618"/>
      <c r="G3439" s="623"/>
      <c r="H3439" s="623"/>
      <c r="I3439" s="618"/>
      <c r="J3439" s="618"/>
      <c r="K3439" s="618"/>
      <c r="L3439" s="618"/>
      <c r="M3439" s="618"/>
      <c r="N3439" s="618"/>
      <c r="O3439" s="618"/>
      <c r="P3439" s="618"/>
      <c r="Q3439" s="618"/>
      <c r="R3439" s="618"/>
      <c r="S3439" s="621"/>
    </row>
    <row r="3440" spans="1:19">
      <c r="A3440" s="705"/>
      <c r="B3440" s="623"/>
      <c r="C3440" s="623"/>
      <c r="D3440" s="623"/>
      <c r="E3440" s="623"/>
      <c r="F3440" s="618"/>
      <c r="G3440" s="623"/>
      <c r="H3440" s="623"/>
      <c r="I3440" s="618"/>
      <c r="J3440" s="618"/>
      <c r="K3440" s="618"/>
      <c r="L3440" s="618"/>
      <c r="M3440" s="618"/>
      <c r="N3440" s="618"/>
      <c r="O3440" s="618"/>
      <c r="P3440" s="618"/>
      <c r="Q3440" s="618"/>
      <c r="R3440" s="618"/>
      <c r="S3440" s="621"/>
    </row>
    <row r="3441" spans="1:19">
      <c r="A3441" s="705"/>
      <c r="B3441" s="623"/>
      <c r="C3441" s="623"/>
      <c r="D3441" s="623"/>
      <c r="E3441" s="623"/>
      <c r="F3441" s="618"/>
      <c r="G3441" s="623"/>
      <c r="H3441" s="623"/>
      <c r="I3441" s="618"/>
      <c r="J3441" s="618"/>
      <c r="K3441" s="618"/>
      <c r="L3441" s="618"/>
      <c r="M3441" s="618"/>
      <c r="N3441" s="618"/>
      <c r="O3441" s="618"/>
      <c r="P3441" s="618"/>
      <c r="Q3441" s="618"/>
      <c r="R3441" s="618"/>
      <c r="S3441" s="621"/>
    </row>
    <row r="3442" spans="1:19">
      <c r="A3442" s="705"/>
      <c r="B3442" s="623"/>
      <c r="C3442" s="623"/>
      <c r="D3442" s="623"/>
      <c r="E3442" s="623"/>
      <c r="F3442" s="618"/>
      <c r="G3442" s="623"/>
      <c r="H3442" s="623"/>
      <c r="I3442" s="618"/>
      <c r="J3442" s="618"/>
      <c r="K3442" s="618"/>
      <c r="L3442" s="618"/>
      <c r="M3442" s="618"/>
      <c r="N3442" s="618"/>
      <c r="O3442" s="618"/>
      <c r="P3442" s="618"/>
      <c r="Q3442" s="618"/>
      <c r="R3442" s="618"/>
      <c r="S3442" s="621"/>
    </row>
    <row r="3443" spans="1:19">
      <c r="A3443" s="705"/>
      <c r="B3443" s="623"/>
      <c r="C3443" s="623"/>
      <c r="D3443" s="623"/>
      <c r="E3443" s="623"/>
      <c r="F3443" s="618"/>
      <c r="G3443" s="623"/>
      <c r="H3443" s="623"/>
      <c r="I3443" s="618"/>
      <c r="J3443" s="618"/>
      <c r="K3443" s="618"/>
      <c r="L3443" s="618"/>
      <c r="M3443" s="618"/>
      <c r="N3443" s="618"/>
      <c r="O3443" s="618"/>
      <c r="P3443" s="618"/>
      <c r="Q3443" s="618"/>
      <c r="R3443" s="618"/>
      <c r="S3443" s="621"/>
    </row>
    <row r="3444" spans="1:19">
      <c r="A3444" s="705"/>
      <c r="B3444" s="623"/>
      <c r="C3444" s="623"/>
      <c r="D3444" s="623"/>
      <c r="E3444" s="623"/>
      <c r="F3444" s="618"/>
      <c r="G3444" s="623"/>
      <c r="H3444" s="623"/>
      <c r="I3444" s="618"/>
      <c r="J3444" s="618"/>
      <c r="K3444" s="618"/>
      <c r="L3444" s="618"/>
      <c r="M3444" s="618"/>
      <c r="N3444" s="618"/>
      <c r="O3444" s="618"/>
      <c r="P3444" s="618"/>
      <c r="Q3444" s="618"/>
      <c r="R3444" s="618"/>
      <c r="S3444" s="621"/>
    </row>
    <row r="3445" spans="1:19">
      <c r="A3445" s="705"/>
      <c r="B3445" s="623"/>
      <c r="C3445" s="623"/>
      <c r="D3445" s="623"/>
      <c r="E3445" s="623"/>
      <c r="F3445" s="618"/>
      <c r="G3445" s="623"/>
      <c r="H3445" s="623"/>
      <c r="I3445" s="618"/>
      <c r="J3445" s="618"/>
      <c r="K3445" s="618"/>
      <c r="L3445" s="618"/>
      <c r="M3445" s="618"/>
      <c r="N3445" s="618"/>
      <c r="O3445" s="618"/>
      <c r="P3445" s="618"/>
      <c r="Q3445" s="618"/>
      <c r="R3445" s="618"/>
      <c r="S3445" s="621"/>
    </row>
    <row r="3446" spans="1:19">
      <c r="A3446" s="705"/>
      <c r="B3446" s="623"/>
      <c r="C3446" s="623"/>
      <c r="D3446" s="623"/>
      <c r="E3446" s="623"/>
      <c r="F3446" s="618"/>
      <c r="G3446" s="623"/>
      <c r="H3446" s="623"/>
      <c r="I3446" s="618"/>
      <c r="J3446" s="618"/>
      <c r="K3446" s="618"/>
      <c r="L3446" s="618"/>
      <c r="M3446" s="618"/>
      <c r="N3446" s="618"/>
      <c r="O3446" s="618"/>
      <c r="P3446" s="618"/>
      <c r="Q3446" s="618"/>
      <c r="R3446" s="618"/>
      <c r="S3446" s="621"/>
    </row>
    <row r="3447" spans="1:19">
      <c r="A3447" s="705"/>
      <c r="B3447" s="623"/>
      <c r="C3447" s="623"/>
      <c r="D3447" s="623"/>
      <c r="E3447" s="623"/>
      <c r="F3447" s="618"/>
      <c r="G3447" s="623"/>
      <c r="H3447" s="623"/>
      <c r="I3447" s="618"/>
      <c r="J3447" s="618"/>
      <c r="K3447" s="618"/>
      <c r="L3447" s="618"/>
      <c r="M3447" s="618"/>
      <c r="N3447" s="618"/>
      <c r="O3447" s="618"/>
      <c r="P3447" s="618"/>
      <c r="Q3447" s="618"/>
      <c r="R3447" s="618"/>
      <c r="S3447" s="621"/>
    </row>
    <row r="3448" spans="1:19">
      <c r="A3448" s="705"/>
      <c r="B3448" s="623"/>
      <c r="C3448" s="623"/>
      <c r="D3448" s="623"/>
      <c r="E3448" s="623"/>
      <c r="F3448" s="618"/>
      <c r="G3448" s="623"/>
      <c r="H3448" s="623"/>
      <c r="I3448" s="618"/>
      <c r="J3448" s="618"/>
      <c r="K3448" s="618"/>
      <c r="L3448" s="618"/>
      <c r="M3448" s="618"/>
      <c r="N3448" s="618"/>
      <c r="O3448" s="618"/>
      <c r="P3448" s="618"/>
      <c r="Q3448" s="618"/>
      <c r="R3448" s="618"/>
      <c r="S3448" s="621"/>
    </row>
    <row r="3449" spans="1:19">
      <c r="A3449" s="705"/>
      <c r="B3449" s="623"/>
      <c r="C3449" s="623"/>
      <c r="D3449" s="623"/>
      <c r="E3449" s="623"/>
      <c r="F3449" s="618"/>
      <c r="G3449" s="623"/>
      <c r="H3449" s="623"/>
      <c r="I3449" s="618"/>
      <c r="J3449" s="618"/>
      <c r="K3449" s="618"/>
      <c r="L3449" s="618"/>
      <c r="M3449" s="618"/>
      <c r="N3449" s="618"/>
      <c r="O3449" s="618"/>
      <c r="P3449" s="618"/>
      <c r="Q3449" s="618"/>
      <c r="R3449" s="618"/>
      <c r="S3449" s="621"/>
    </row>
    <row r="3450" spans="1:19">
      <c r="A3450" s="705"/>
      <c r="B3450" s="623"/>
      <c r="C3450" s="623"/>
      <c r="D3450" s="623"/>
      <c r="E3450" s="623"/>
      <c r="F3450" s="618"/>
      <c r="G3450" s="623"/>
      <c r="H3450" s="623"/>
      <c r="I3450" s="618"/>
      <c r="J3450" s="618"/>
      <c r="K3450" s="618"/>
      <c r="L3450" s="618"/>
      <c r="M3450" s="618"/>
      <c r="N3450" s="618"/>
      <c r="O3450" s="618"/>
      <c r="P3450" s="618"/>
      <c r="Q3450" s="618"/>
      <c r="R3450" s="618"/>
      <c r="S3450" s="621"/>
    </row>
    <row r="3451" spans="1:19">
      <c r="A3451" s="705"/>
      <c r="B3451" s="623"/>
      <c r="C3451" s="623"/>
      <c r="D3451" s="623"/>
      <c r="E3451" s="623"/>
      <c r="F3451" s="618"/>
      <c r="G3451" s="623"/>
      <c r="H3451" s="623"/>
      <c r="I3451" s="618"/>
      <c r="J3451" s="618"/>
      <c r="K3451" s="618"/>
      <c r="L3451" s="618"/>
      <c r="M3451" s="618"/>
      <c r="N3451" s="618"/>
      <c r="O3451" s="618"/>
      <c r="P3451" s="618"/>
      <c r="Q3451" s="618"/>
      <c r="R3451" s="618"/>
      <c r="S3451" s="621"/>
    </row>
    <row r="3452" spans="1:19">
      <c r="A3452" s="705"/>
      <c r="B3452" s="623"/>
      <c r="C3452" s="623"/>
      <c r="D3452" s="623"/>
      <c r="E3452" s="623"/>
      <c r="F3452" s="618"/>
      <c r="G3452" s="623"/>
      <c r="H3452" s="623"/>
      <c r="I3452" s="618"/>
      <c r="J3452" s="618"/>
      <c r="K3452" s="618"/>
      <c r="L3452" s="618"/>
      <c r="M3452" s="618"/>
      <c r="N3452" s="618"/>
      <c r="O3452" s="618"/>
      <c r="P3452" s="618"/>
      <c r="Q3452" s="618"/>
      <c r="R3452" s="618"/>
      <c r="S3452" s="621"/>
    </row>
    <row r="3453" spans="1:19">
      <c r="A3453" s="705"/>
      <c r="B3453" s="623"/>
      <c r="C3453" s="623"/>
      <c r="D3453" s="623"/>
      <c r="E3453" s="623"/>
      <c r="F3453" s="618"/>
      <c r="G3453" s="623"/>
      <c r="H3453" s="623"/>
      <c r="I3453" s="618"/>
      <c r="J3453" s="618"/>
      <c r="K3453" s="618"/>
      <c r="L3453" s="618"/>
      <c r="M3453" s="618"/>
      <c r="N3453" s="618"/>
      <c r="O3453" s="618"/>
      <c r="P3453" s="618"/>
      <c r="Q3453" s="618"/>
      <c r="R3453" s="618"/>
      <c r="S3453" s="621"/>
    </row>
    <row r="3454" spans="1:19">
      <c r="A3454" s="705"/>
      <c r="B3454" s="623"/>
      <c r="C3454" s="623"/>
      <c r="D3454" s="623"/>
      <c r="E3454" s="623"/>
      <c r="F3454" s="618"/>
      <c r="G3454" s="623"/>
      <c r="H3454" s="623"/>
      <c r="I3454" s="618"/>
      <c r="J3454" s="618"/>
      <c r="K3454" s="618"/>
      <c r="L3454" s="618"/>
      <c r="M3454" s="618"/>
      <c r="N3454" s="618"/>
      <c r="O3454" s="618"/>
      <c r="P3454" s="618"/>
      <c r="Q3454" s="618"/>
      <c r="R3454" s="618"/>
      <c r="S3454" s="621"/>
    </row>
    <row r="3455" spans="1:19">
      <c r="A3455" s="705"/>
      <c r="B3455" s="623"/>
      <c r="C3455" s="623"/>
      <c r="D3455" s="623"/>
      <c r="E3455" s="623"/>
      <c r="F3455" s="618"/>
      <c r="G3455" s="623"/>
      <c r="H3455" s="623"/>
      <c r="I3455" s="618"/>
      <c r="J3455" s="618"/>
      <c r="K3455" s="618"/>
      <c r="L3455" s="618"/>
      <c r="M3455" s="618"/>
      <c r="N3455" s="618"/>
      <c r="O3455" s="618"/>
      <c r="P3455" s="618"/>
      <c r="Q3455" s="618"/>
      <c r="R3455" s="618"/>
      <c r="S3455" s="621"/>
    </row>
    <row r="3456" spans="1:19">
      <c r="A3456" s="705"/>
      <c r="B3456" s="623"/>
      <c r="C3456" s="623"/>
      <c r="D3456" s="623"/>
      <c r="E3456" s="623"/>
      <c r="F3456" s="618"/>
      <c r="G3456" s="623"/>
      <c r="H3456" s="623"/>
      <c r="I3456" s="618"/>
      <c r="J3456" s="618"/>
      <c r="K3456" s="618"/>
      <c r="L3456" s="618"/>
      <c r="M3456" s="618"/>
      <c r="N3456" s="618"/>
      <c r="O3456" s="618"/>
      <c r="P3456" s="618"/>
      <c r="Q3456" s="618"/>
      <c r="R3456" s="618"/>
      <c r="S3456" s="621"/>
    </row>
    <row r="3457" spans="1:19">
      <c r="A3457" s="705"/>
      <c r="B3457" s="623"/>
      <c r="C3457" s="623"/>
      <c r="D3457" s="623"/>
      <c r="E3457" s="623"/>
      <c r="F3457" s="618"/>
      <c r="G3457" s="623"/>
      <c r="H3457" s="623"/>
      <c r="I3457" s="618"/>
      <c r="J3457" s="618"/>
      <c r="K3457" s="618"/>
      <c r="L3457" s="618"/>
      <c r="M3457" s="618"/>
      <c r="N3457" s="618"/>
      <c r="O3457" s="618"/>
      <c r="P3457" s="618"/>
      <c r="Q3457" s="618"/>
      <c r="R3457" s="618"/>
      <c r="S3457" s="621"/>
    </row>
    <row r="3458" spans="1:19">
      <c r="A3458" s="705"/>
      <c r="B3458" s="623"/>
      <c r="C3458" s="623"/>
      <c r="D3458" s="623"/>
      <c r="E3458" s="623"/>
      <c r="F3458" s="618"/>
      <c r="G3458" s="623"/>
      <c r="H3458" s="623"/>
      <c r="I3458" s="618"/>
      <c r="J3458" s="618"/>
      <c r="K3458" s="618"/>
      <c r="L3458" s="618"/>
      <c r="M3458" s="618"/>
      <c r="N3458" s="618"/>
      <c r="O3458" s="618"/>
      <c r="P3458" s="618"/>
      <c r="Q3458" s="618"/>
      <c r="R3458" s="618"/>
      <c r="S3458" s="621"/>
    </row>
    <row r="3459" spans="1:19">
      <c r="A3459" s="705"/>
      <c r="B3459" s="623"/>
      <c r="C3459" s="623"/>
      <c r="D3459" s="623"/>
      <c r="E3459" s="623"/>
      <c r="F3459" s="618"/>
      <c r="G3459" s="623"/>
      <c r="H3459" s="623"/>
      <c r="I3459" s="618"/>
      <c r="J3459" s="618"/>
      <c r="K3459" s="618"/>
      <c r="L3459" s="618"/>
      <c r="M3459" s="618"/>
      <c r="N3459" s="618"/>
      <c r="O3459" s="618"/>
      <c r="P3459" s="618"/>
      <c r="Q3459" s="618"/>
      <c r="R3459" s="618"/>
      <c r="S3459" s="621"/>
    </row>
    <row r="3460" spans="1:19">
      <c r="A3460" s="705"/>
      <c r="B3460" s="623"/>
      <c r="C3460" s="623"/>
      <c r="D3460" s="623"/>
      <c r="E3460" s="623"/>
      <c r="F3460" s="618"/>
      <c r="G3460" s="623"/>
      <c r="H3460" s="623"/>
      <c r="I3460" s="618"/>
      <c r="J3460" s="618"/>
      <c r="K3460" s="618"/>
      <c r="L3460" s="618"/>
      <c r="M3460" s="618"/>
      <c r="N3460" s="618"/>
      <c r="O3460" s="618"/>
      <c r="P3460" s="618"/>
      <c r="Q3460" s="618"/>
      <c r="R3460" s="618"/>
      <c r="S3460" s="621"/>
    </row>
    <row r="3461" spans="1:19">
      <c r="A3461" s="705"/>
      <c r="B3461" s="623"/>
      <c r="C3461" s="623"/>
      <c r="D3461" s="623"/>
      <c r="E3461" s="623"/>
      <c r="F3461" s="618"/>
      <c r="G3461" s="623"/>
      <c r="H3461" s="623"/>
      <c r="I3461" s="618"/>
      <c r="J3461" s="618"/>
      <c r="K3461" s="618"/>
      <c r="L3461" s="618"/>
      <c r="M3461" s="618"/>
      <c r="N3461" s="618"/>
      <c r="O3461" s="618"/>
      <c r="P3461" s="618"/>
      <c r="Q3461" s="618"/>
      <c r="R3461" s="618"/>
      <c r="S3461" s="621"/>
    </row>
    <row r="3462" spans="1:19">
      <c r="A3462" s="705"/>
      <c r="B3462" s="623"/>
      <c r="C3462" s="623"/>
      <c r="D3462" s="623"/>
      <c r="E3462" s="623"/>
      <c r="F3462" s="618"/>
      <c r="G3462" s="623"/>
      <c r="H3462" s="623"/>
      <c r="I3462" s="618"/>
      <c r="J3462" s="618"/>
      <c r="K3462" s="618"/>
      <c r="L3462" s="618"/>
      <c r="M3462" s="618"/>
      <c r="N3462" s="618"/>
      <c r="O3462" s="618"/>
      <c r="P3462" s="618"/>
      <c r="Q3462" s="618"/>
      <c r="R3462" s="618"/>
      <c r="S3462" s="621"/>
    </row>
    <row r="3463" spans="1:19">
      <c r="A3463" s="705"/>
      <c r="B3463" s="623"/>
      <c r="C3463" s="623"/>
      <c r="D3463" s="623"/>
      <c r="E3463" s="623"/>
      <c r="F3463" s="618"/>
      <c r="G3463" s="623"/>
      <c r="H3463" s="623"/>
      <c r="I3463" s="618"/>
      <c r="J3463" s="618"/>
      <c r="K3463" s="618"/>
      <c r="L3463" s="618"/>
      <c r="M3463" s="618"/>
      <c r="N3463" s="618"/>
      <c r="O3463" s="618"/>
      <c r="P3463" s="618"/>
      <c r="Q3463" s="618"/>
      <c r="R3463" s="618"/>
      <c r="S3463" s="621"/>
    </row>
    <row r="3464" spans="1:19">
      <c r="A3464" s="705"/>
      <c r="B3464" s="623"/>
      <c r="C3464" s="623"/>
      <c r="D3464" s="623"/>
      <c r="E3464" s="623"/>
      <c r="F3464" s="618"/>
      <c r="G3464" s="623"/>
      <c r="H3464" s="623"/>
      <c r="I3464" s="618"/>
      <c r="J3464" s="618"/>
      <c r="K3464" s="618"/>
      <c r="L3464" s="618"/>
      <c r="M3464" s="618"/>
      <c r="N3464" s="618"/>
      <c r="O3464" s="618"/>
      <c r="P3464" s="618"/>
      <c r="Q3464" s="618"/>
      <c r="R3464" s="618"/>
      <c r="S3464" s="621"/>
    </row>
    <row r="3465" spans="1:19">
      <c r="A3465" s="705"/>
      <c r="B3465" s="623"/>
      <c r="C3465" s="623"/>
      <c r="D3465" s="623"/>
      <c r="E3465" s="623"/>
      <c r="F3465" s="618"/>
      <c r="G3465" s="623"/>
      <c r="H3465" s="623"/>
      <c r="I3465" s="618"/>
      <c r="J3465" s="618"/>
      <c r="K3465" s="618"/>
      <c r="L3465" s="618"/>
      <c r="M3465" s="618"/>
      <c r="N3465" s="618"/>
      <c r="O3465" s="618"/>
      <c r="P3465" s="618"/>
      <c r="Q3465" s="618"/>
      <c r="R3465" s="618"/>
      <c r="S3465" s="621"/>
    </row>
    <row r="3466" spans="1:19">
      <c r="A3466" s="705"/>
      <c r="B3466" s="623"/>
      <c r="C3466" s="623"/>
      <c r="D3466" s="623"/>
      <c r="E3466" s="623"/>
      <c r="F3466" s="618"/>
      <c r="G3466" s="623"/>
      <c r="H3466" s="623"/>
      <c r="I3466" s="618"/>
      <c r="J3466" s="618"/>
      <c r="K3466" s="618"/>
      <c r="L3466" s="618"/>
      <c r="M3466" s="618"/>
      <c r="N3466" s="618"/>
      <c r="O3466" s="618"/>
      <c r="P3466" s="618"/>
      <c r="Q3466" s="618"/>
      <c r="R3466" s="618"/>
      <c r="S3466" s="621"/>
    </row>
    <row r="3467" spans="1:19">
      <c r="A3467" s="705"/>
      <c r="B3467" s="623"/>
      <c r="C3467" s="623"/>
      <c r="D3467" s="623"/>
      <c r="E3467" s="623"/>
      <c r="F3467" s="618"/>
      <c r="G3467" s="623"/>
      <c r="H3467" s="623"/>
      <c r="I3467" s="618"/>
      <c r="J3467" s="618"/>
      <c r="K3467" s="618"/>
      <c r="L3467" s="618"/>
      <c r="M3467" s="618"/>
      <c r="N3467" s="618"/>
      <c r="O3467" s="618"/>
      <c r="P3467" s="618"/>
      <c r="Q3467" s="618"/>
      <c r="R3467" s="618"/>
      <c r="S3467" s="621"/>
    </row>
    <row r="3468" spans="1:19">
      <c r="A3468" s="705"/>
      <c r="B3468" s="623"/>
      <c r="C3468" s="623"/>
      <c r="D3468" s="623"/>
      <c r="E3468" s="623"/>
      <c r="F3468" s="618"/>
      <c r="G3468" s="623"/>
      <c r="H3468" s="623"/>
      <c r="I3468" s="618"/>
      <c r="J3468" s="618"/>
      <c r="K3468" s="618"/>
      <c r="L3468" s="618"/>
      <c r="M3468" s="618"/>
      <c r="N3468" s="618"/>
      <c r="O3468" s="618"/>
      <c r="P3468" s="618"/>
      <c r="Q3468" s="618"/>
      <c r="R3468" s="618"/>
      <c r="S3468" s="621"/>
    </row>
    <row r="3469" spans="1:19">
      <c r="A3469" s="705"/>
      <c r="B3469" s="623"/>
      <c r="C3469" s="623"/>
      <c r="D3469" s="623"/>
      <c r="E3469" s="623"/>
      <c r="F3469" s="618"/>
      <c r="G3469" s="623"/>
      <c r="H3469" s="623"/>
      <c r="I3469" s="618"/>
      <c r="J3469" s="618"/>
      <c r="K3469" s="618"/>
      <c r="L3469" s="618"/>
      <c r="M3469" s="618"/>
      <c r="N3469" s="618"/>
      <c r="O3469" s="618"/>
      <c r="P3469" s="618"/>
      <c r="Q3469" s="618"/>
      <c r="R3469" s="618"/>
      <c r="S3469" s="621"/>
    </row>
  </sheetData>
  <mergeCells count="225">
    <mergeCell ref="D35:E35"/>
    <mergeCell ref="D44:E44"/>
    <mergeCell ref="D50:E50"/>
    <mergeCell ref="D53:E53"/>
    <mergeCell ref="D57:E57"/>
    <mergeCell ref="D58:E58"/>
    <mergeCell ref="D2:E2"/>
    <mergeCell ref="C4:E4"/>
    <mergeCell ref="D5:E5"/>
    <mergeCell ref="D22:E22"/>
    <mergeCell ref="D23:E23"/>
    <mergeCell ref="D24:E24"/>
    <mergeCell ref="B114:E114"/>
    <mergeCell ref="C116:E116"/>
    <mergeCell ref="D117:E117"/>
    <mergeCell ref="D118:E118"/>
    <mergeCell ref="D121:E121"/>
    <mergeCell ref="D122:E122"/>
    <mergeCell ref="B86:E86"/>
    <mergeCell ref="C88:E88"/>
    <mergeCell ref="D89:E89"/>
    <mergeCell ref="D94:E94"/>
    <mergeCell ref="D104:E104"/>
    <mergeCell ref="D110:E110"/>
    <mergeCell ref="B164:E164"/>
    <mergeCell ref="B165:E165"/>
    <mergeCell ref="D167:E167"/>
    <mergeCell ref="C169:E169"/>
    <mergeCell ref="C170:E170"/>
    <mergeCell ref="D171:E171"/>
    <mergeCell ref="D123:E123"/>
    <mergeCell ref="D124:E124"/>
    <mergeCell ref="D129:E129"/>
    <mergeCell ref="D130:E130"/>
    <mergeCell ref="D156:E156"/>
    <mergeCell ref="D160:E160"/>
    <mergeCell ref="D205:E205"/>
    <mergeCell ref="C219:E219"/>
    <mergeCell ref="C221:E221"/>
    <mergeCell ref="D222:E222"/>
    <mergeCell ref="D223:E223"/>
    <mergeCell ref="D272:E272"/>
    <mergeCell ref="D180:E180"/>
    <mergeCell ref="D181:E181"/>
    <mergeCell ref="D185:E185"/>
    <mergeCell ref="D192:E192"/>
    <mergeCell ref="D197:E197"/>
    <mergeCell ref="D202:E202"/>
    <mergeCell ref="D349:E349"/>
    <mergeCell ref="D354:E354"/>
    <mergeCell ref="D359:E359"/>
    <mergeCell ref="D362:E362"/>
    <mergeCell ref="C376:E376"/>
    <mergeCell ref="C378:E378"/>
    <mergeCell ref="C321:E321"/>
    <mergeCell ref="C323:E323"/>
    <mergeCell ref="D324:E324"/>
    <mergeCell ref="D336:E336"/>
    <mergeCell ref="D337:E337"/>
    <mergeCell ref="D341:E341"/>
    <mergeCell ref="D663:E663"/>
    <mergeCell ref="D710:E710"/>
    <mergeCell ref="C762:E762"/>
    <mergeCell ref="C764:E764"/>
    <mergeCell ref="D765:E765"/>
    <mergeCell ref="D812:E812"/>
    <mergeCell ref="D379:E379"/>
    <mergeCell ref="D426:E426"/>
    <mergeCell ref="D473:E473"/>
    <mergeCell ref="D522:E522"/>
    <mergeCell ref="D569:E569"/>
    <mergeCell ref="D616:E616"/>
    <mergeCell ref="D964:E964"/>
    <mergeCell ref="D965:E965"/>
    <mergeCell ref="D969:E969"/>
    <mergeCell ref="D976:E976"/>
    <mergeCell ref="D981:E981"/>
    <mergeCell ref="D986:E986"/>
    <mergeCell ref="D859:E859"/>
    <mergeCell ref="D860:E860"/>
    <mergeCell ref="D907:E907"/>
    <mergeCell ref="C954:E954"/>
    <mergeCell ref="C956:E956"/>
    <mergeCell ref="D957:E957"/>
    <mergeCell ref="C1009:E1009"/>
    <mergeCell ref="D1010:E1010"/>
    <mergeCell ref="D1051:E1051"/>
    <mergeCell ref="D1092:E1092"/>
    <mergeCell ref="D1138:E1138"/>
    <mergeCell ref="D1181:E1181"/>
    <mergeCell ref="D989:E989"/>
    <mergeCell ref="C1003:E1003"/>
    <mergeCell ref="C1004:E1004"/>
    <mergeCell ref="C1005:E1005"/>
    <mergeCell ref="B1006:E1006"/>
    <mergeCell ref="C1008:E1008"/>
    <mergeCell ref="C1355:E1355"/>
    <mergeCell ref="C1357:E1357"/>
    <mergeCell ref="D1358:E1358"/>
    <mergeCell ref="D1648:E1648"/>
    <mergeCell ref="D1690:E1690"/>
    <mergeCell ref="D1994:E1994"/>
    <mergeCell ref="D1182:E1182"/>
    <mergeCell ref="D1226:E1226"/>
    <mergeCell ref="D1227:E1227"/>
    <mergeCell ref="D1271:E1271"/>
    <mergeCell ref="D1312:E1312"/>
    <mergeCell ref="D1313:E1313"/>
    <mergeCell ref="C2235:E2235"/>
    <mergeCell ref="D2236:E2236"/>
    <mergeCell ref="D2246:E2246"/>
    <mergeCell ref="D2247:E2247"/>
    <mergeCell ref="D2251:E2251"/>
    <mergeCell ref="D2255:E2255"/>
    <mergeCell ref="D2068:E2068"/>
    <mergeCell ref="C2110:E2110"/>
    <mergeCell ref="C2112:E2112"/>
    <mergeCell ref="D2113:E2113"/>
    <mergeCell ref="D2185:E2185"/>
    <mergeCell ref="C2233:E2233"/>
    <mergeCell ref="D2286:E2286"/>
    <mergeCell ref="D2330:E2330"/>
    <mergeCell ref="D2369:E2369"/>
    <mergeCell ref="D2406:E2406"/>
    <mergeCell ref="D2444:E2444"/>
    <mergeCell ref="C2482:E2482"/>
    <mergeCell ref="D2259:E2259"/>
    <mergeCell ref="D2264:E2264"/>
    <mergeCell ref="D2268:E2268"/>
    <mergeCell ref="C2282:E2282"/>
    <mergeCell ref="C2284:E2284"/>
    <mergeCell ref="D2285:E2285"/>
    <mergeCell ref="D2549:E2549"/>
    <mergeCell ref="D2564:E2564"/>
    <mergeCell ref="C2578:E2578"/>
    <mergeCell ref="C2580:E2580"/>
    <mergeCell ref="D2581:E2581"/>
    <mergeCell ref="D2666:E2666"/>
    <mergeCell ref="C2484:E2484"/>
    <mergeCell ref="D2485:E2485"/>
    <mergeCell ref="D2495:E2495"/>
    <mergeCell ref="D2522:E2522"/>
    <mergeCell ref="D2530:E2530"/>
    <mergeCell ref="D2539:E2539"/>
    <mergeCell ref="D2882:E2882"/>
    <mergeCell ref="C2910:E2910"/>
    <mergeCell ref="B2911:E2911"/>
    <mergeCell ref="B2913:E2913"/>
    <mergeCell ref="C2914:E2914"/>
    <mergeCell ref="D2915:E2915"/>
    <mergeCell ref="C2710:E2710"/>
    <mergeCell ref="C2712:E2712"/>
    <mergeCell ref="D2713:E2713"/>
    <mergeCell ref="D2751:E2751"/>
    <mergeCell ref="D2790:E2790"/>
    <mergeCell ref="D2834:E2834"/>
    <mergeCell ref="D2979:E2979"/>
    <mergeCell ref="C2993:E2993"/>
    <mergeCell ref="C2995:E2995"/>
    <mergeCell ref="D2996:E2996"/>
    <mergeCell ref="D3000:E3000"/>
    <mergeCell ref="D3001:E3001"/>
    <mergeCell ref="D2927:E2927"/>
    <mergeCell ref="D2934:E2934"/>
    <mergeCell ref="D2943:E2943"/>
    <mergeCell ref="D2962:E2962"/>
    <mergeCell ref="D2971:E2971"/>
    <mergeCell ref="D2976:E2976"/>
    <mergeCell ref="C3035:E3035"/>
    <mergeCell ref="D3036:E3036"/>
    <mergeCell ref="D3040:E3040"/>
    <mergeCell ref="D3041:E3041"/>
    <mergeCell ref="D3044:E3044"/>
    <mergeCell ref="D3047:E3047"/>
    <mergeCell ref="D3004:E3004"/>
    <mergeCell ref="D3007:E3007"/>
    <mergeCell ref="D3011:E3011"/>
    <mergeCell ref="D3016:E3016"/>
    <mergeCell ref="D3019:E3019"/>
    <mergeCell ref="C3033:E3033"/>
    <mergeCell ref="D3078:E3078"/>
    <mergeCell ref="D3085:E3085"/>
    <mergeCell ref="D3091:E3091"/>
    <mergeCell ref="D3095:E3095"/>
    <mergeCell ref="D3098:E3098"/>
    <mergeCell ref="D3102:E3102"/>
    <mergeCell ref="D3056:E3056"/>
    <mergeCell ref="D3059:E3059"/>
    <mergeCell ref="C3073:E3073"/>
    <mergeCell ref="B3074:E3074"/>
    <mergeCell ref="C3076:E3076"/>
    <mergeCell ref="D3077:E3077"/>
    <mergeCell ref="C3148:E3148"/>
    <mergeCell ref="D3149:E3149"/>
    <mergeCell ref="D3152:E3152"/>
    <mergeCell ref="D3155:E3155"/>
    <mergeCell ref="D3156:E3156"/>
    <mergeCell ref="D3157:E3157"/>
    <mergeCell ref="D3112:E3112"/>
    <mergeCell ref="D3115:E3115"/>
    <mergeCell ref="B3129:E3129"/>
    <mergeCell ref="C3131:E3131"/>
    <mergeCell ref="D3132:E3132"/>
    <mergeCell ref="C3147:E3147"/>
    <mergeCell ref="D3169:E3169"/>
    <mergeCell ref="D3170:E3170"/>
    <mergeCell ref="D3171:E3171"/>
    <mergeCell ref="G3171:H3171"/>
    <mergeCell ref="D3172:E3172"/>
    <mergeCell ref="D3173:E3173"/>
    <mergeCell ref="B3158:E3158"/>
    <mergeCell ref="C3159:E3159"/>
    <mergeCell ref="D3160:E3160"/>
    <mergeCell ref="B3165:E3165"/>
    <mergeCell ref="B3166:E3166"/>
    <mergeCell ref="B3168:E3168"/>
    <mergeCell ref="C3261:D3261"/>
    <mergeCell ref="C3306:D3306"/>
    <mergeCell ref="C3308:D3308"/>
    <mergeCell ref="D3174:E3174"/>
    <mergeCell ref="D3175:E3175"/>
    <mergeCell ref="D3176:E3176"/>
    <mergeCell ref="G3176:H3176"/>
    <mergeCell ref="C3194:D3194"/>
    <mergeCell ref="C3259:D325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EBBF3-3133-4575-A923-8F06862130E5}">
  <dimension ref="A1:Q67"/>
  <sheetViews>
    <sheetView tabSelected="1" zoomScaleNormal="100" workbookViewId="0">
      <selection activeCell="Q6" sqref="O1:Q1048576"/>
    </sheetView>
  </sheetViews>
  <sheetFormatPr defaultColWidth="10.53515625" defaultRowHeight="15.5"/>
  <cols>
    <col min="1" max="1" width="3" style="529" customWidth="1"/>
    <col min="2" max="2" width="4.3046875" style="529" customWidth="1"/>
    <col min="3" max="3" width="6.23046875" style="529" customWidth="1"/>
    <col min="4" max="4" width="37.4609375" style="529" customWidth="1"/>
    <col min="5" max="5" width="12.765625" style="529" bestFit="1" customWidth="1"/>
    <col min="6" max="6" width="11.23046875" style="529" customWidth="1"/>
    <col min="7" max="8" width="14.4609375" style="529" customWidth="1"/>
    <col min="9" max="9" width="15.4609375" style="529" customWidth="1"/>
    <col min="10" max="10" width="15.53515625" style="529" customWidth="1"/>
    <col min="11" max="12" width="14.4609375" style="529" customWidth="1"/>
    <col min="13" max="13" width="14.53515625" style="529" customWidth="1"/>
    <col min="14" max="14" width="16" style="529" customWidth="1"/>
    <col min="15" max="15" width="11.23046875" style="529" customWidth="1"/>
    <col min="16" max="16384" width="10.53515625" style="529"/>
  </cols>
  <sheetData>
    <row r="1" spans="1:14">
      <c r="B1" s="530"/>
      <c r="D1" s="531"/>
    </row>
    <row r="2" spans="1:14" ht="22" customHeight="1">
      <c r="A2" s="532" t="s">
        <v>627</v>
      </c>
      <c r="B2" s="533"/>
      <c r="C2" s="533"/>
      <c r="D2" s="533"/>
      <c r="E2" s="533"/>
      <c r="F2" s="533"/>
      <c r="G2" s="533"/>
      <c r="H2" s="533"/>
      <c r="I2" s="533"/>
      <c r="J2" s="533"/>
      <c r="K2" s="533"/>
      <c r="L2" s="533"/>
      <c r="M2" s="533"/>
      <c r="N2" s="533"/>
    </row>
    <row r="3" spans="1:14" ht="19.899999999999999" customHeight="1" thickBot="1">
      <c r="A3" s="534" t="s">
        <v>628</v>
      </c>
      <c r="B3" s="533"/>
      <c r="C3" s="533"/>
      <c r="D3" s="533"/>
      <c r="E3" s="533"/>
      <c r="F3" s="533"/>
      <c r="G3" s="533"/>
      <c r="H3" s="533"/>
      <c r="I3" s="533"/>
      <c r="J3" s="533"/>
      <c r="K3" s="533"/>
      <c r="L3" s="533"/>
      <c r="M3" s="533"/>
      <c r="N3" s="533"/>
    </row>
    <row r="4" spans="1:14" ht="16" thickTop="1">
      <c r="A4" s="535" t="s">
        <v>629</v>
      </c>
      <c r="D4" s="800" t="str">
        <f>'Annual Budget '!D5</f>
        <v>Redesign Dalton</v>
      </c>
      <c r="K4" s="536" t="s">
        <v>630</v>
      </c>
      <c r="L4" s="537"/>
      <c r="M4" s="537"/>
      <c r="N4" s="538"/>
    </row>
    <row r="5" spans="1:14" ht="16.899999999999999" customHeight="1" thickBot="1">
      <c r="B5" s="529" t="s">
        <v>631</v>
      </c>
      <c r="D5" s="801"/>
      <c r="K5" s="539" t="s">
        <v>632</v>
      </c>
      <c r="L5" s="540"/>
      <c r="M5" s="540"/>
      <c r="N5" s="541"/>
    </row>
    <row r="6" spans="1:14" ht="16" thickTop="1">
      <c r="A6" s="542"/>
      <c r="B6" s="543"/>
      <c r="C6" s="543"/>
      <c r="D6" s="544"/>
      <c r="E6" s="543"/>
      <c r="F6" s="544"/>
      <c r="G6" s="542"/>
      <c r="H6" s="543"/>
      <c r="I6" s="543"/>
      <c r="J6" s="543"/>
      <c r="K6" s="542"/>
      <c r="L6" s="543"/>
      <c r="M6" s="543"/>
      <c r="N6" s="544"/>
    </row>
    <row r="7" spans="1:14">
      <c r="A7" s="545"/>
      <c r="D7" s="546"/>
      <c r="E7" s="547" t="s">
        <v>2</v>
      </c>
      <c r="F7" s="548"/>
      <c r="G7" s="549" t="s">
        <v>633</v>
      </c>
      <c r="H7" s="547"/>
      <c r="I7" s="547"/>
      <c r="J7" s="547"/>
      <c r="K7" s="549" t="s">
        <v>634</v>
      </c>
      <c r="L7" s="547"/>
      <c r="M7" s="547"/>
      <c r="N7" s="550"/>
    </row>
    <row r="8" spans="1:14" ht="18" customHeight="1" thickBot="1">
      <c r="A8" s="549" t="s">
        <v>635</v>
      </c>
      <c r="B8" s="533"/>
      <c r="C8" s="533"/>
      <c r="D8" s="548"/>
      <c r="F8" s="546"/>
      <c r="G8" s="551"/>
      <c r="J8" s="552"/>
      <c r="K8" s="551"/>
      <c r="L8" s="552"/>
      <c r="M8" s="552"/>
      <c r="N8" s="553"/>
    </row>
    <row r="9" spans="1:14" ht="15.75" customHeight="1" thickTop="1">
      <c r="A9" s="545"/>
      <c r="D9" s="546"/>
      <c r="E9" s="554" t="s">
        <v>636</v>
      </c>
      <c r="F9" s="555" t="s">
        <v>637</v>
      </c>
      <c r="G9" s="802" t="s">
        <v>572</v>
      </c>
      <c r="H9" s="794" t="s">
        <v>599</v>
      </c>
      <c r="I9" s="797" t="s">
        <v>600</v>
      </c>
      <c r="J9" s="797" t="s">
        <v>601</v>
      </c>
      <c r="K9" s="802" t="s">
        <v>572</v>
      </c>
      <c r="L9" s="794" t="s">
        <v>599</v>
      </c>
      <c r="M9" s="797" t="s">
        <v>600</v>
      </c>
      <c r="N9" s="797" t="s">
        <v>601</v>
      </c>
    </row>
    <row r="10" spans="1:14" ht="15" customHeight="1">
      <c r="A10" s="545"/>
      <c r="D10" s="546"/>
      <c r="E10" s="556" t="s">
        <v>638</v>
      </c>
      <c r="F10" s="557" t="s">
        <v>639</v>
      </c>
      <c r="G10" s="803"/>
      <c r="H10" s="795" t="s">
        <v>603</v>
      </c>
      <c r="I10" s="798" t="s">
        <v>603</v>
      </c>
      <c r="J10" s="798" t="s">
        <v>603</v>
      </c>
      <c r="K10" s="803"/>
      <c r="L10" s="795" t="s">
        <v>603</v>
      </c>
      <c r="M10" s="798" t="s">
        <v>603</v>
      </c>
      <c r="N10" s="798" t="s">
        <v>603</v>
      </c>
    </row>
    <row r="11" spans="1:14" ht="15.75" customHeight="1" thickBot="1">
      <c r="A11" s="551"/>
      <c r="B11" s="552"/>
      <c r="C11" s="552"/>
      <c r="D11" s="553"/>
      <c r="E11" s="558" t="s">
        <v>640</v>
      </c>
      <c r="F11" s="559" t="s">
        <v>640</v>
      </c>
      <c r="G11" s="804"/>
      <c r="H11" s="796"/>
      <c r="I11" s="799"/>
      <c r="J11" s="799"/>
      <c r="K11" s="804"/>
      <c r="L11" s="796"/>
      <c r="M11" s="799"/>
      <c r="N11" s="799"/>
    </row>
    <row r="12" spans="1:14" ht="22" customHeight="1" thickTop="1">
      <c r="A12" s="560" t="s">
        <v>91</v>
      </c>
      <c r="B12" s="533"/>
      <c r="C12" s="533"/>
      <c r="D12" s="548"/>
      <c r="E12" s="561"/>
      <c r="F12" s="546"/>
      <c r="G12" s="546"/>
      <c r="H12" s="562"/>
      <c r="I12" s="562"/>
      <c r="J12" s="562"/>
      <c r="K12" s="562"/>
      <c r="L12" s="562"/>
      <c r="M12" s="562"/>
      <c r="N12" s="562"/>
    </row>
    <row r="13" spans="1:14" ht="16.899999999999999" customHeight="1">
      <c r="A13" s="545">
        <v>1</v>
      </c>
      <c r="B13" s="563" t="s">
        <v>641</v>
      </c>
      <c r="D13" s="546"/>
      <c r="E13" s="564" t="s">
        <v>642</v>
      </c>
      <c r="F13" s="516" t="s">
        <v>643</v>
      </c>
      <c r="G13" s="565">
        <f>SUMIF('Form A Mapping'!H:H, 'FY 24-25 Budget Form A'!A13,'Form A Mapping'!AB:AB)</f>
        <v>1300052.33</v>
      </c>
      <c r="H13" s="565">
        <f>SUMIF('Form A Mapping'!H:H, 'FY 24-25 Budget Form A'!A13,'Form A Mapping'!AC:AC)</f>
        <v>1954468</v>
      </c>
      <c r="I13" s="565">
        <f>SUMIF('Form A Mapping'!H:H, 'FY 24-25 Budget Form A'!A13,'Form A Mapping'!AD:AD)</f>
        <v>688003.56</v>
      </c>
      <c r="J13" s="565">
        <f>SUMIF('Form A Mapping'!H:H, 'FY 24-25 Budget Form A'!A13,'Form A Mapping'!AE:AE)</f>
        <v>1223272.54</v>
      </c>
      <c r="K13" s="565">
        <f>SUMIF('Form A Mapping'!H:H, 'FY 24-25 Budget Form A'!A13,'Form A Mapping'!AF:AF)</f>
        <v>0</v>
      </c>
      <c r="L13" s="565">
        <f>SUMIF('Form A Mapping'!H:H, 'FY 24-25 Budget Form A'!A13,'Form A Mapping'!AG:AG)</f>
        <v>0</v>
      </c>
      <c r="M13" s="565">
        <f>SUMIF('Form A Mapping'!H:H, 'FY 24-25 Budget Form A'!A13,'Form A Mapping'!AH:AH)</f>
        <v>0</v>
      </c>
      <c r="N13" s="565">
        <f>SUMIF('Form A Mapping'!H:H, 'FY 24-25 Budget Form A'!A13,'Form A Mapping'!AI:AI)</f>
        <v>0</v>
      </c>
    </row>
    <row r="14" spans="1:14" ht="16.899999999999999" customHeight="1">
      <c r="A14" s="545">
        <v>2</v>
      </c>
      <c r="B14" s="563" t="s">
        <v>644</v>
      </c>
      <c r="D14" s="546"/>
      <c r="E14" s="564" t="s">
        <v>645</v>
      </c>
      <c r="F14" s="516" t="s">
        <v>646</v>
      </c>
      <c r="G14" s="565">
        <f>SUMIF('Form A Mapping'!H:H, 'FY 24-25 Budget Form A'!A14,'Form A Mapping'!AB:AB)</f>
        <v>11866</v>
      </c>
      <c r="H14" s="565">
        <f>SUMIF('Form A Mapping'!H:H, 'FY 24-25 Budget Form A'!A14,'Form A Mapping'!AC:AC)</f>
        <v>0</v>
      </c>
      <c r="I14" s="565">
        <f>SUMIF('Form A Mapping'!H:H, 'FY 24-25 Budget Form A'!A14,'Form A Mapping'!AD:AD)</f>
        <v>91928</v>
      </c>
      <c r="J14" s="565">
        <f>SUMIF('Form A Mapping'!H:H, 'FY 24-25 Budget Form A'!A14,'Form A Mapping'!AE:AE)</f>
        <v>0</v>
      </c>
      <c r="K14" s="565">
        <f>SUMIF('Form A Mapping'!H:H, 'FY 24-25 Budget Form A'!A14,'Form A Mapping'!AF:AF)</f>
        <v>0</v>
      </c>
      <c r="L14" s="565">
        <f>SUMIF('Form A Mapping'!H:H, 'FY 24-25 Budget Form A'!A14,'Form A Mapping'!AG:AG)</f>
        <v>22389.705882352941</v>
      </c>
      <c r="M14" s="565">
        <f>SUMIF('Form A Mapping'!H:H, 'FY 24-25 Budget Form A'!A14,'Form A Mapping'!AH:AH)</f>
        <v>0</v>
      </c>
      <c r="N14" s="565">
        <f>SUMIF('Form A Mapping'!H:H, 'FY 24-25 Budget Form A'!A14,'Form A Mapping'!AI:AI)</f>
        <v>3143</v>
      </c>
    </row>
    <row r="15" spans="1:14" ht="16.899999999999999" customHeight="1">
      <c r="A15" s="545">
        <v>3</v>
      </c>
      <c r="B15" s="563" t="s">
        <v>647</v>
      </c>
      <c r="D15" s="546"/>
      <c r="E15" s="564" t="s">
        <v>645</v>
      </c>
      <c r="F15" s="516" t="s">
        <v>648</v>
      </c>
      <c r="G15" s="565">
        <f>SUMIF('Form A Mapping'!H:H, 'FY 24-25 Budget Form A'!A15,'Form A Mapping'!AB:AB)</f>
        <v>818650</v>
      </c>
      <c r="H15" s="565">
        <f>SUMIF('Form A Mapping'!H:H, 'FY 24-25 Budget Form A'!A15,'Form A Mapping'!AC:AC)</f>
        <v>1344316.2326921532</v>
      </c>
      <c r="I15" s="565">
        <f>SUMIF('Form A Mapping'!H:H, 'FY 24-25 Budget Form A'!A15,'Form A Mapping'!AD:AD)</f>
        <v>400974</v>
      </c>
      <c r="J15" s="565">
        <f>SUMIF('Form A Mapping'!H:H, 'FY 24-25 Budget Form A'!A15,'Form A Mapping'!AE:AE)</f>
        <v>537282</v>
      </c>
      <c r="K15" s="566"/>
      <c r="L15" s="566"/>
      <c r="M15" s="566"/>
      <c r="N15" s="566"/>
    </row>
    <row r="16" spans="1:14" ht="16.899999999999999" customHeight="1">
      <c r="A16" s="545">
        <v>4</v>
      </c>
      <c r="B16" s="563" t="s">
        <v>649</v>
      </c>
      <c r="D16" s="546"/>
      <c r="E16" s="564" t="s">
        <v>645</v>
      </c>
      <c r="F16" s="567" t="s">
        <v>650</v>
      </c>
      <c r="G16" s="566"/>
      <c r="H16" s="566"/>
      <c r="I16" s="566"/>
      <c r="J16" s="566"/>
      <c r="K16" s="565">
        <f>SUMIF('Form A Mapping'!H:H, 'FY 24-25 Budget Form A'!A16,'Form A Mapping'!AF:AF)</f>
        <v>0</v>
      </c>
      <c r="L16" s="565">
        <f>SUMIF('Form A Mapping'!H:H, 'FY 24-25 Budget Form A'!A16,'Form A Mapping'!AG:AG)</f>
        <v>0</v>
      </c>
      <c r="M16" s="565">
        <f>SUMIF('Form A Mapping'!H:H, 'FY 24-25 Budget Form A'!A16,'Form A Mapping'!AH:AH)</f>
        <v>0</v>
      </c>
      <c r="N16" s="565">
        <f>SUMIF('Form A Mapping'!H:H, 'FY 24-25 Budget Form A'!A16,'Form A Mapping'!AI:AI)</f>
        <v>0</v>
      </c>
    </row>
    <row r="17" spans="1:15" ht="16.899999999999999" customHeight="1" thickBot="1">
      <c r="A17" s="545">
        <v>5</v>
      </c>
      <c r="B17" s="563" t="s">
        <v>651</v>
      </c>
      <c r="D17" s="546"/>
      <c r="E17" s="568" t="s">
        <v>652</v>
      </c>
      <c r="F17" s="569" t="s">
        <v>653</v>
      </c>
      <c r="G17" s="565">
        <f>SUMIF('Form A Mapping'!H:H, 'FY 24-25 Budget Form A'!A17,'Form A Mapping'!AB:AB)</f>
        <v>0</v>
      </c>
      <c r="H17" s="565">
        <f>SUMIF('Form A Mapping'!H:H, 'FY 24-25 Budget Form A'!A17,'Form A Mapping'!AC:AC)</f>
        <v>0</v>
      </c>
      <c r="I17" s="565">
        <f>SUMIF('Form A Mapping'!H:H, 'FY 24-25 Budget Form A'!A17,'Form A Mapping'!AD:AD)</f>
        <v>0</v>
      </c>
      <c r="J17" s="565">
        <f>SUMIF('Form A Mapping'!H:H, 'FY 24-25 Budget Form A'!A17,'Form A Mapping'!AE:AE)</f>
        <v>0</v>
      </c>
      <c r="K17" s="565">
        <f>SUMIF('Form A Mapping'!H:H, 'FY 24-25 Budget Form A'!A17,'Form A Mapping'!AF:AF)</f>
        <v>2024065.82</v>
      </c>
      <c r="L17" s="565">
        <f>SUMIF('Form A Mapping'!H:H, 'FY 24-25 Budget Form A'!A17,'Form A Mapping'!AG:AG)</f>
        <v>1599240.5692641316</v>
      </c>
      <c r="M17" s="565">
        <f>SUMIF('Form A Mapping'!H:H, 'FY 24-25 Budget Form A'!A17,'Form A Mapping'!AH:AH)</f>
        <v>828604.3</v>
      </c>
      <c r="N17" s="565">
        <f>SUMIF('Form A Mapping'!H:H, 'FY 24-25 Budget Form A'!A17,'Form A Mapping'!AI:AI)</f>
        <v>766345.79</v>
      </c>
    </row>
    <row r="18" spans="1:15" ht="16.899999999999999" customHeight="1" thickBot="1">
      <c r="A18" s="570"/>
      <c r="B18" s="571"/>
      <c r="C18" s="572" t="s">
        <v>654</v>
      </c>
      <c r="D18" s="573"/>
      <c r="E18" s="574"/>
      <c r="F18" s="575" t="s">
        <v>655</v>
      </c>
      <c r="G18" s="576">
        <f>SUM(G13:G17)</f>
        <v>2130568.33</v>
      </c>
      <c r="H18" s="576">
        <f>SUM(H13:H17)</f>
        <v>3298784.2326921532</v>
      </c>
      <c r="I18" s="576">
        <f t="shared" ref="I18:J18" si="0">SUM(I13:I17)</f>
        <v>1180905.56</v>
      </c>
      <c r="J18" s="576">
        <f t="shared" si="0"/>
        <v>1760554.54</v>
      </c>
      <c r="K18" s="576">
        <f>SUM(K13:K17)</f>
        <v>2024065.82</v>
      </c>
      <c r="L18" s="576">
        <f t="shared" ref="L18:N18" si="1">SUM(L13:L17)</f>
        <v>1621630.2751464846</v>
      </c>
      <c r="M18" s="576">
        <f t="shared" si="1"/>
        <v>828604.3</v>
      </c>
      <c r="N18" s="576">
        <f t="shared" si="1"/>
        <v>769488.79</v>
      </c>
    </row>
    <row r="19" spans="1:15" ht="25" customHeight="1">
      <c r="A19" s="545">
        <v>6</v>
      </c>
      <c r="B19" s="563" t="s">
        <v>656</v>
      </c>
      <c r="D19" s="546"/>
      <c r="E19" s="564" t="s">
        <v>657</v>
      </c>
      <c r="F19" s="516" t="s">
        <v>658</v>
      </c>
      <c r="G19" s="565">
        <f>SUMIF('Form A Mapping'!H:H, 'FY 24-25 Budget Form A'!A19,'Form A Mapping'!AB:AB)</f>
        <v>0</v>
      </c>
      <c r="H19" s="565">
        <f>SUMIF('Form A Mapping'!H:H, 'FY 24-25 Budget Form A'!A19,'Form A Mapping'!AC:AC)</f>
        <v>0</v>
      </c>
      <c r="I19" s="565">
        <f>SUMIF('Form A Mapping'!H:H, 'FY 24-25 Budget Form A'!A19,'Form A Mapping'!AD:AD)</f>
        <v>0</v>
      </c>
      <c r="J19" s="565">
        <f>SUMIF('Form A Mapping'!H:H, 'FY 24-25 Budget Form A'!A19,'Form A Mapping'!AE:AE)</f>
        <v>0</v>
      </c>
      <c r="K19" s="565">
        <f>SUMIF('Form A Mapping'!H:H, 'FY 24-25 Budget Form A'!A19,'Form A Mapping'!AF:AF)</f>
        <v>0</v>
      </c>
      <c r="L19" s="565">
        <f>SUMIF('Form A Mapping'!H:H, 'FY 24-25 Budget Form A'!A19,'Form A Mapping'!AG:AG)</f>
        <v>0</v>
      </c>
      <c r="M19" s="565">
        <f>SUMIF('Form A Mapping'!H:H, 'FY 24-25 Budget Form A'!A19,'Form A Mapping'!AH:AH)</f>
        <v>0</v>
      </c>
      <c r="N19" s="565">
        <f>SUMIF('Form A Mapping'!H:H, 'FY 24-25 Budget Form A'!A19,'Form A Mapping'!AI:AI)</f>
        <v>0</v>
      </c>
    </row>
    <row r="20" spans="1:15" ht="7" customHeight="1" thickBot="1">
      <c r="A20" s="545"/>
      <c r="B20" s="563"/>
      <c r="D20" s="546"/>
      <c r="E20" s="577"/>
      <c r="F20" s="578"/>
      <c r="G20" s="579"/>
      <c r="H20" s="580"/>
      <c r="I20" s="580"/>
      <c r="J20" s="580"/>
      <c r="K20" s="580"/>
      <c r="L20" s="580"/>
      <c r="M20" s="580"/>
      <c r="N20" s="580"/>
    </row>
    <row r="21" spans="1:15" ht="16.5" thickTop="1" thickBot="1">
      <c r="A21" s="581"/>
      <c r="B21" s="582" t="s">
        <v>659</v>
      </c>
      <c r="C21" s="583"/>
      <c r="D21" s="584"/>
      <c r="E21" s="585"/>
      <c r="F21" s="586" t="s">
        <v>660</v>
      </c>
      <c r="G21" s="587">
        <f>G18+G19</f>
        <v>2130568.33</v>
      </c>
      <c r="H21" s="587">
        <f>H18+H19</f>
        <v>3298784.2326921532</v>
      </c>
      <c r="I21" s="587">
        <f t="shared" ref="I21:J21" si="2">I18+I19</f>
        <v>1180905.56</v>
      </c>
      <c r="J21" s="587">
        <f t="shared" si="2"/>
        <v>1760554.54</v>
      </c>
      <c r="K21" s="587">
        <f>K18+K19</f>
        <v>2024065.82</v>
      </c>
      <c r="L21" s="587">
        <f t="shared" ref="L21:N21" si="3">L18+L19</f>
        <v>1621630.2751464846</v>
      </c>
      <c r="M21" s="587">
        <f t="shared" si="3"/>
        <v>828604.3</v>
      </c>
      <c r="N21" s="587">
        <f t="shared" si="3"/>
        <v>769488.79</v>
      </c>
      <c r="O21" s="943"/>
    </row>
    <row r="22" spans="1:15" ht="22" customHeight="1" thickTop="1">
      <c r="A22" s="560" t="s">
        <v>92</v>
      </c>
      <c r="B22" s="533"/>
      <c r="C22" s="533"/>
      <c r="D22" s="548"/>
      <c r="E22" s="561"/>
      <c r="F22" s="546"/>
      <c r="G22" s="588"/>
      <c r="H22" s="588"/>
      <c r="I22" s="588"/>
      <c r="J22" s="588"/>
      <c r="K22" s="588"/>
      <c r="L22" s="588"/>
      <c r="M22" s="588"/>
      <c r="N22" s="588"/>
    </row>
    <row r="23" spans="1:15" ht="20.149999999999999" customHeight="1">
      <c r="A23" s="545"/>
      <c r="B23" s="589" t="s">
        <v>661</v>
      </c>
      <c r="C23" s="563"/>
      <c r="D23" s="590"/>
      <c r="E23" s="561"/>
      <c r="F23" s="546"/>
      <c r="G23" s="591"/>
      <c r="H23" s="588"/>
      <c r="I23" s="588"/>
      <c r="J23" s="588"/>
      <c r="K23" s="588"/>
      <c r="L23" s="588"/>
      <c r="M23" s="588"/>
      <c r="N23" s="588"/>
    </row>
    <row r="24" spans="1:15" ht="16.899999999999999" customHeight="1">
      <c r="A24" s="545">
        <v>7</v>
      </c>
      <c r="B24" s="563"/>
      <c r="C24" s="563" t="s">
        <v>662</v>
      </c>
      <c r="D24" s="590"/>
      <c r="E24" s="564" t="s">
        <v>581</v>
      </c>
      <c r="F24" s="567" t="s">
        <v>602</v>
      </c>
      <c r="G24" s="565">
        <f>SUMIF('Form A Mapping'!H:H, 'FY 24-25 Budget Form A'!A24,'Form A Mapping'!AB:AB)</f>
        <v>512975.15000000014</v>
      </c>
      <c r="H24" s="565">
        <f>SUMIF('Form A Mapping'!H:H, 'FY 24-25 Budget Form A'!A24,'Form A Mapping'!AC:AC)</f>
        <v>584190.14658282534</v>
      </c>
      <c r="I24" s="565">
        <f>SUMIF('Form A Mapping'!H:H, 'FY 24-25 Budget Form A'!A24,'Form A Mapping'!AD:AD)</f>
        <v>531390.24000000022</v>
      </c>
      <c r="J24" s="565">
        <f>SUMIF('Form A Mapping'!H:H, 'FY 24-25 Budget Form A'!A24,'Form A Mapping'!AE:AE)</f>
        <v>377946.50030110608</v>
      </c>
      <c r="K24" s="565">
        <f>SUMIF('Form A Mapping'!H:H, 'FY 24-25 Budget Form A'!A24,'Form A Mapping'!AF:AF)</f>
        <v>679702</v>
      </c>
      <c r="L24" s="565">
        <f>SUMIF('Form A Mapping'!H:H, 'FY 24-25 Budget Form A'!A24,'Form A Mapping'!AG:AG)</f>
        <v>1000000</v>
      </c>
      <c r="M24" s="565">
        <f>SUMIF('Form A Mapping'!H:H, 'FY 24-25 Budget Form A'!A24,'Form A Mapping'!AH:AH)</f>
        <v>152532.44</v>
      </c>
      <c r="N24" s="565">
        <f>SUMIF('Form A Mapping'!H:H, 'FY 24-25 Budget Form A'!A24,'Form A Mapping'!AI:AI)</f>
        <v>291424.19</v>
      </c>
    </row>
    <row r="25" spans="1:15" ht="16.899999999999999" customHeight="1">
      <c r="A25" s="545">
        <v>8</v>
      </c>
      <c r="B25" s="563"/>
      <c r="C25" s="563" t="s">
        <v>663</v>
      </c>
      <c r="D25" s="590"/>
      <c r="E25" s="564" t="s">
        <v>664</v>
      </c>
      <c r="F25" s="567" t="s">
        <v>604</v>
      </c>
      <c r="G25" s="565">
        <f>SUMIF('Form A Mapping'!H:H, 'FY 24-25 Budget Form A'!A25,'Form A Mapping'!AB:AB)</f>
        <v>118985.15999999999</v>
      </c>
      <c r="H25" s="565">
        <f>SUMIF('Form A Mapping'!H:H, 'FY 24-25 Budget Form A'!A25,'Form A Mapping'!AC:AC)</f>
        <v>255534.71426826998</v>
      </c>
      <c r="I25" s="565">
        <f>SUMIF('Form A Mapping'!H:H, 'FY 24-25 Budget Form A'!A25,'Form A Mapping'!AD:AD)</f>
        <v>130700.28</v>
      </c>
      <c r="J25" s="565">
        <f>SUMIF('Form A Mapping'!H:H, 'FY 24-25 Budget Form A'!A25,'Form A Mapping'!AE:AE)</f>
        <v>91785.832682750159</v>
      </c>
      <c r="K25" s="565">
        <f>SUMIF('Form A Mapping'!H:H, 'FY 24-25 Budget Form A'!A25,'Form A Mapping'!AF:AF)</f>
        <v>71213</v>
      </c>
      <c r="L25" s="565">
        <f>SUMIF('Form A Mapping'!H:H, 'FY 24-25 Budget Form A'!A25,'Form A Mapping'!AG:AG)</f>
        <v>0</v>
      </c>
      <c r="M25" s="565">
        <f>SUMIF('Form A Mapping'!H:H, 'FY 24-25 Budget Form A'!A25,'Form A Mapping'!AH:AH)</f>
        <v>25415.95</v>
      </c>
      <c r="N25" s="565">
        <f>SUMIF('Form A Mapping'!H:H, 'FY 24-25 Budget Form A'!A25,'Form A Mapping'!AI:AI)</f>
        <v>44742.19</v>
      </c>
    </row>
    <row r="26" spans="1:15" ht="16.899999999999999" customHeight="1">
      <c r="A26" s="545">
        <v>9</v>
      </c>
      <c r="B26" s="563"/>
      <c r="C26" s="563" t="s">
        <v>665</v>
      </c>
      <c r="D26" s="590"/>
      <c r="E26" s="564" t="s">
        <v>666</v>
      </c>
      <c r="F26" s="567" t="s">
        <v>605</v>
      </c>
      <c r="G26" s="565">
        <f>SUMIF('Form A Mapping'!H:H, 'FY 24-25 Budget Form A'!A26,'Form A Mapping'!AB:AB)</f>
        <v>0</v>
      </c>
      <c r="H26" s="565">
        <f>SUMIF('Form A Mapping'!H:H, 'FY 24-25 Budget Form A'!A26,'Form A Mapping'!AC:AC)</f>
        <v>0</v>
      </c>
      <c r="I26" s="565">
        <f>SUMIF('Form A Mapping'!H:H, 'FY 24-25 Budget Form A'!A26,'Form A Mapping'!AD:AD)</f>
        <v>0</v>
      </c>
      <c r="J26" s="565">
        <f>SUMIF('Form A Mapping'!H:H, 'FY 24-25 Budget Form A'!A26,'Form A Mapping'!AE:AE)</f>
        <v>0</v>
      </c>
      <c r="K26" s="565">
        <f>SUMIF('Form A Mapping'!H:H, 'FY 24-25 Budget Form A'!A26,'Form A Mapping'!AF:AF)</f>
        <v>0</v>
      </c>
      <c r="L26" s="565">
        <f>SUMIF('Form A Mapping'!H:H, 'FY 24-25 Budget Form A'!A26,'Form A Mapping'!AG:AG)</f>
        <v>0</v>
      </c>
      <c r="M26" s="565">
        <f>SUMIF('Form A Mapping'!H:H, 'FY 24-25 Budget Form A'!A26,'Form A Mapping'!AH:AH)</f>
        <v>0</v>
      </c>
      <c r="N26" s="565">
        <f>SUMIF('Form A Mapping'!H:H, 'FY 24-25 Budget Form A'!A26,'Form A Mapping'!AI:AI)</f>
        <v>0</v>
      </c>
    </row>
    <row r="27" spans="1:15" ht="16.899999999999999" customHeight="1">
      <c r="A27" s="545">
        <v>10</v>
      </c>
      <c r="B27" s="563"/>
      <c r="C27" s="563" t="s">
        <v>667</v>
      </c>
      <c r="D27" s="590"/>
      <c r="E27" s="564" t="s">
        <v>668</v>
      </c>
      <c r="F27" s="567" t="s">
        <v>606</v>
      </c>
      <c r="G27" s="565">
        <f>SUMIF('Form A Mapping'!H:H, 'FY 24-25 Budget Form A'!A27,'Form A Mapping'!AB:AB)</f>
        <v>0</v>
      </c>
      <c r="H27" s="565">
        <f>SUMIF('Form A Mapping'!H:H, 'FY 24-25 Budget Form A'!A27,'Form A Mapping'!AC:AC)</f>
        <v>5000</v>
      </c>
      <c r="I27" s="565">
        <f>SUMIF('Form A Mapping'!H:H, 'FY 24-25 Budget Form A'!A27,'Form A Mapping'!AD:AD)</f>
        <v>0</v>
      </c>
      <c r="J27" s="565">
        <f>SUMIF('Form A Mapping'!H:H, 'FY 24-25 Budget Form A'!A27,'Form A Mapping'!AE:AE)</f>
        <v>620.25</v>
      </c>
      <c r="K27" s="565">
        <f>SUMIF('Form A Mapping'!H:H, 'FY 24-25 Budget Form A'!A27,'Form A Mapping'!AF:AF)</f>
        <v>0</v>
      </c>
      <c r="L27" s="565">
        <f>SUMIF('Form A Mapping'!H:H, 'FY 24-25 Budget Form A'!A27,'Form A Mapping'!AG:AG)</f>
        <v>0</v>
      </c>
      <c r="M27" s="565">
        <f>SUMIF('Form A Mapping'!H:H, 'FY 24-25 Budget Form A'!A27,'Form A Mapping'!AH:AH)</f>
        <v>0</v>
      </c>
      <c r="N27" s="565">
        <f>SUMIF('Form A Mapping'!H:H, 'FY 24-25 Budget Form A'!A27,'Form A Mapping'!AI:AI)</f>
        <v>0</v>
      </c>
    </row>
    <row r="28" spans="1:15" ht="16.899999999999999" customHeight="1">
      <c r="A28" s="545">
        <v>11</v>
      </c>
      <c r="B28" s="563"/>
      <c r="C28" s="563" t="s">
        <v>669</v>
      </c>
      <c r="D28" s="590"/>
      <c r="E28" s="564" t="s">
        <v>670</v>
      </c>
      <c r="F28" s="567" t="s">
        <v>607</v>
      </c>
      <c r="G28" s="565">
        <f>SUMIF('Form A Mapping'!H:H, 'FY 24-25 Budget Form A'!A28,'Form A Mapping'!AB:AB)</f>
        <v>0</v>
      </c>
      <c r="H28" s="565">
        <f>SUMIF('Form A Mapping'!H:H, 'FY 24-25 Budget Form A'!A28,'Form A Mapping'!AC:AC)</f>
        <v>0</v>
      </c>
      <c r="I28" s="565">
        <f>SUMIF('Form A Mapping'!H:H, 'FY 24-25 Budget Form A'!A28,'Form A Mapping'!AD:AD)</f>
        <v>1600.45</v>
      </c>
      <c r="J28" s="565">
        <f>SUMIF('Form A Mapping'!H:H, 'FY 24-25 Budget Form A'!A28,'Form A Mapping'!AE:AE)</f>
        <v>0</v>
      </c>
      <c r="K28" s="565">
        <f>SUMIF('Form A Mapping'!H:H, 'FY 24-25 Budget Form A'!A28,'Form A Mapping'!AF:AF)</f>
        <v>0</v>
      </c>
      <c r="L28" s="565">
        <f>SUMIF('Form A Mapping'!H:H, 'FY 24-25 Budget Form A'!A28,'Form A Mapping'!AG:AG)</f>
        <v>0</v>
      </c>
      <c r="M28" s="565">
        <f>SUMIF('Form A Mapping'!H:H, 'FY 24-25 Budget Form A'!A28,'Form A Mapping'!AH:AH)</f>
        <v>0</v>
      </c>
      <c r="N28" s="565">
        <f>SUMIF('Form A Mapping'!H:H, 'FY 24-25 Budget Form A'!A28,'Form A Mapping'!AI:AI)</f>
        <v>0</v>
      </c>
    </row>
    <row r="29" spans="1:15" ht="16.899999999999999" customHeight="1" thickBot="1">
      <c r="A29" s="545">
        <v>12</v>
      </c>
      <c r="B29" s="563"/>
      <c r="C29" s="563" t="s">
        <v>671</v>
      </c>
      <c r="D29" s="590"/>
      <c r="E29" s="564" t="s">
        <v>672</v>
      </c>
      <c r="F29" s="567" t="s">
        <v>608</v>
      </c>
      <c r="G29" s="565">
        <f>SUMIF('Form A Mapping'!H:H, 'FY 24-25 Budget Form A'!A29,'Form A Mapping'!AB:AB)</f>
        <v>0</v>
      </c>
      <c r="H29" s="565">
        <f>SUMIF('Form A Mapping'!H:H, 'FY 24-25 Budget Form A'!A29,'Form A Mapping'!AC:AC)</f>
        <v>0</v>
      </c>
      <c r="I29" s="565">
        <f>SUMIF('Form A Mapping'!H:H, 'FY 24-25 Budget Form A'!A29,'Form A Mapping'!AD:AD)</f>
        <v>0</v>
      </c>
      <c r="J29" s="565">
        <f>SUMIF('Form A Mapping'!H:H, 'FY 24-25 Budget Form A'!A29,'Form A Mapping'!AE:AE)</f>
        <v>0</v>
      </c>
      <c r="K29" s="565">
        <f>SUMIF('Form A Mapping'!H:H, 'FY 24-25 Budget Form A'!A29,'Form A Mapping'!AF:AF)</f>
        <v>0</v>
      </c>
      <c r="L29" s="565">
        <f>SUMIF('Form A Mapping'!H:H, 'FY 24-25 Budget Form A'!A29,'Form A Mapping'!AG:AG)</f>
        <v>0</v>
      </c>
      <c r="M29" s="565">
        <f>SUMIF('Form A Mapping'!H:H, 'FY 24-25 Budget Form A'!A29,'Form A Mapping'!AH:AH)</f>
        <v>0</v>
      </c>
      <c r="N29" s="565">
        <f>SUMIF('Form A Mapping'!H:H, 'FY 24-25 Budget Form A'!A29,'Form A Mapping'!AI:AI)</f>
        <v>0</v>
      </c>
    </row>
    <row r="30" spans="1:15" ht="16.899999999999999" customHeight="1" thickBot="1">
      <c r="A30" s="570"/>
      <c r="B30" s="572"/>
      <c r="C30" s="572"/>
      <c r="D30" s="592" t="s">
        <v>673</v>
      </c>
      <c r="E30" s="574"/>
      <c r="F30" s="575" t="s">
        <v>674</v>
      </c>
      <c r="G30" s="576">
        <f>SUM(G24:G29)</f>
        <v>631960.31000000017</v>
      </c>
      <c r="H30" s="576">
        <f>SUM(H24:H29)</f>
        <v>844724.86085109529</v>
      </c>
      <c r="I30" s="576">
        <f t="shared" ref="I30:N30" si="4">SUM(I24:I29)</f>
        <v>663690.9700000002</v>
      </c>
      <c r="J30" s="576">
        <f t="shared" si="4"/>
        <v>470352.58298385621</v>
      </c>
      <c r="K30" s="576">
        <f t="shared" si="4"/>
        <v>750915</v>
      </c>
      <c r="L30" s="576">
        <f t="shared" si="4"/>
        <v>1000000</v>
      </c>
      <c r="M30" s="576">
        <f t="shared" si="4"/>
        <v>177948.39</v>
      </c>
      <c r="N30" s="576">
        <f t="shared" si="4"/>
        <v>336166.38</v>
      </c>
    </row>
    <row r="31" spans="1:15" ht="20.149999999999999" customHeight="1">
      <c r="A31" s="545"/>
      <c r="B31" s="589" t="s">
        <v>675</v>
      </c>
      <c r="D31" s="546"/>
      <c r="E31" s="561"/>
      <c r="F31" s="546"/>
      <c r="G31" s="588"/>
      <c r="H31" s="588"/>
      <c r="I31" s="588"/>
      <c r="J31" s="588"/>
      <c r="K31" s="588"/>
      <c r="L31" s="588"/>
      <c r="M31" s="588"/>
      <c r="N31" s="588"/>
    </row>
    <row r="32" spans="1:15" ht="16.899999999999999" customHeight="1">
      <c r="A32" s="545">
        <v>13</v>
      </c>
      <c r="C32" s="563" t="s">
        <v>676</v>
      </c>
      <c r="D32" s="590"/>
      <c r="E32" s="564" t="s">
        <v>677</v>
      </c>
      <c r="F32" s="567" t="s">
        <v>609</v>
      </c>
      <c r="G32" s="565">
        <f>SUMIF('Form A Mapping'!H:H, 'FY 24-25 Budget Form A'!A32,'Form A Mapping'!AB:AB)</f>
        <v>115072.53</v>
      </c>
      <c r="H32" s="565">
        <f>SUMIF('Form A Mapping'!H:H, 'FY 24-25 Budget Form A'!A32,'Form A Mapping'!AC:AC)</f>
        <v>92250</v>
      </c>
      <c r="I32" s="565">
        <f>SUMIF('Form A Mapping'!H:H, 'FY 24-25 Budget Form A'!A32,'Form A Mapping'!AD:AD)</f>
        <v>127295.81</v>
      </c>
      <c r="J32" s="565">
        <f>SUMIF('Form A Mapping'!H:H, 'FY 24-25 Budget Form A'!A32,'Form A Mapping'!AE:AE)</f>
        <v>138944.45537272867</v>
      </c>
      <c r="K32" s="565">
        <f>SUMIF('Form A Mapping'!H:H, 'FY 24-25 Budget Form A'!A32,'Form A Mapping'!AF:AF)</f>
        <v>99032</v>
      </c>
      <c r="L32" s="565">
        <f>SUMIF('Form A Mapping'!H:H, 'FY 24-25 Budget Form A'!A32,'Form A Mapping'!AG:AG)</f>
        <v>57936</v>
      </c>
      <c r="M32" s="565">
        <f>SUMIF('Form A Mapping'!H:H, 'FY 24-25 Budget Form A'!A32,'Form A Mapping'!AH:AH)</f>
        <v>0</v>
      </c>
      <c r="N32" s="565">
        <f>SUMIF('Form A Mapping'!H:H, 'FY 24-25 Budget Form A'!A32,'Form A Mapping'!AI:AI)</f>
        <v>0</v>
      </c>
    </row>
    <row r="33" spans="1:14" ht="16.899999999999999" customHeight="1">
      <c r="A33" s="545">
        <v>14</v>
      </c>
      <c r="C33" s="563" t="s">
        <v>678</v>
      </c>
      <c r="D33" s="590"/>
      <c r="E33" s="564" t="s">
        <v>679</v>
      </c>
      <c r="F33" s="567" t="s">
        <v>610</v>
      </c>
      <c r="G33" s="565">
        <f>SUMIF('Form A Mapping'!H:H, 'FY 24-25 Budget Form A'!A33,'Form A Mapping'!AB:AB)</f>
        <v>242137</v>
      </c>
      <c r="H33" s="565">
        <f>SUMIF('Form A Mapping'!H:H, 'FY 24-25 Budget Form A'!A33,'Form A Mapping'!AC:AC)</f>
        <v>340032.23364826012</v>
      </c>
      <c r="I33" s="565">
        <f>SUMIF('Form A Mapping'!H:H, 'FY 24-25 Budget Form A'!A33,'Form A Mapping'!AD:AD)</f>
        <v>99720.790000000008</v>
      </c>
      <c r="J33" s="565">
        <f>SUMIF('Form A Mapping'!H:H, 'FY 24-25 Budget Form A'!A33,'Form A Mapping'!AE:AE)</f>
        <v>52288.379133387636</v>
      </c>
      <c r="K33" s="565">
        <f>SUMIF('Form A Mapping'!H:H, 'FY 24-25 Budget Form A'!A33,'Form A Mapping'!AF:AF)</f>
        <v>327300.5</v>
      </c>
      <c r="L33" s="565">
        <f>SUMIF('Form A Mapping'!H:H, 'FY 24-25 Budget Form A'!A33,'Form A Mapping'!AG:AG)</f>
        <v>16794</v>
      </c>
      <c r="M33" s="565">
        <f>SUMIF('Form A Mapping'!H:H, 'FY 24-25 Budget Form A'!A33,'Form A Mapping'!AH:AH)</f>
        <v>4769</v>
      </c>
      <c r="N33" s="565">
        <f>SUMIF('Form A Mapping'!H:H, 'FY 24-25 Budget Form A'!A33,'Form A Mapping'!AI:AI)</f>
        <v>6073.4</v>
      </c>
    </row>
    <row r="34" spans="1:14" ht="16.899999999999999" customHeight="1">
      <c r="A34" s="545">
        <v>15</v>
      </c>
      <c r="C34" s="563" t="s">
        <v>680</v>
      </c>
      <c r="D34" s="590"/>
      <c r="E34" s="564" t="s">
        <v>681</v>
      </c>
      <c r="F34" s="567" t="s">
        <v>611</v>
      </c>
      <c r="G34" s="565">
        <f>SUMIF('Form A Mapping'!H:H, 'FY 24-25 Budget Form A'!A34,'Form A Mapping'!AB:AB)</f>
        <v>84875.17</v>
      </c>
      <c r="H34" s="565">
        <f>SUMIF('Form A Mapping'!H:H, 'FY 24-25 Budget Form A'!A34,'Form A Mapping'!AC:AC)</f>
        <v>110699</v>
      </c>
      <c r="I34" s="565">
        <f>SUMIF('Form A Mapping'!H:H, 'FY 24-25 Budget Form A'!A34,'Form A Mapping'!AD:AD)</f>
        <v>25141.799999999996</v>
      </c>
      <c r="J34" s="565">
        <f>SUMIF('Form A Mapping'!H:H, 'FY 24-25 Budget Form A'!A34,'Form A Mapping'!AE:AE)</f>
        <v>72379.98</v>
      </c>
      <c r="K34" s="565">
        <f>SUMIF('Form A Mapping'!H:H, 'FY 24-25 Budget Form A'!A34,'Form A Mapping'!AF:AF)</f>
        <v>0</v>
      </c>
      <c r="L34" s="565">
        <f>SUMIF('Form A Mapping'!H:H, 'FY 24-25 Budget Form A'!A34,'Form A Mapping'!AG:AG)</f>
        <v>0</v>
      </c>
      <c r="M34" s="565">
        <f>SUMIF('Form A Mapping'!H:H, 'FY 24-25 Budget Form A'!A34,'Form A Mapping'!AH:AH)</f>
        <v>0</v>
      </c>
      <c r="N34" s="565">
        <f>SUMIF('Form A Mapping'!H:H, 'FY 24-25 Budget Form A'!A34,'Form A Mapping'!AI:AI)</f>
        <v>0</v>
      </c>
    </row>
    <row r="35" spans="1:14" ht="16.899999999999999" customHeight="1">
      <c r="A35" s="545">
        <v>16</v>
      </c>
      <c r="C35" s="563" t="s">
        <v>682</v>
      </c>
      <c r="D35" s="590"/>
      <c r="E35" s="564" t="s">
        <v>580</v>
      </c>
      <c r="F35" s="567" t="s">
        <v>612</v>
      </c>
      <c r="G35" s="565">
        <f>SUMIF('Form A Mapping'!H:H, 'FY 24-25 Budget Form A'!A35,'Form A Mapping'!AB:AB)</f>
        <v>523559.38000000006</v>
      </c>
      <c r="H35" s="565">
        <f>SUMIF('Form A Mapping'!H:H, 'FY 24-25 Budget Form A'!A35,'Form A Mapping'!AC:AC)</f>
        <v>980220.69409899402</v>
      </c>
      <c r="I35" s="565">
        <f>SUMIF('Form A Mapping'!H:H, 'FY 24-25 Budget Form A'!A35,'Form A Mapping'!AD:AD)</f>
        <v>355078.82999999996</v>
      </c>
      <c r="J35" s="565">
        <f>SUMIF('Form A Mapping'!H:H, 'FY 24-25 Budget Form A'!A35,'Form A Mapping'!AE:AE)</f>
        <v>365931.52328814898</v>
      </c>
      <c r="K35" s="565">
        <f>SUMIF('Form A Mapping'!H:H, 'FY 24-25 Budget Form A'!A35,'Form A Mapping'!AF:AF)</f>
        <v>59009</v>
      </c>
      <c r="L35" s="565">
        <f>SUMIF('Form A Mapping'!H:H, 'FY 24-25 Budget Form A'!A35,'Form A Mapping'!AG:AG)</f>
        <v>279400</v>
      </c>
      <c r="M35" s="565">
        <f>SUMIF('Form A Mapping'!H:H, 'FY 24-25 Budget Form A'!A35,'Form A Mapping'!AH:AH)</f>
        <v>3004.31</v>
      </c>
      <c r="N35" s="565">
        <f>SUMIF('Form A Mapping'!H:H, 'FY 24-25 Budget Form A'!A35,'Form A Mapping'!AI:AI)</f>
        <v>3333.1</v>
      </c>
    </row>
    <row r="36" spans="1:14" ht="16.899999999999999" customHeight="1">
      <c r="A36" s="545">
        <v>17</v>
      </c>
      <c r="C36" s="563" t="s">
        <v>683</v>
      </c>
      <c r="D36" s="590"/>
      <c r="E36" s="564" t="s">
        <v>684</v>
      </c>
      <c r="F36" s="567" t="s">
        <v>613</v>
      </c>
      <c r="G36" s="565">
        <f>SUMIF('Form A Mapping'!H:H, 'FY 24-25 Budget Form A'!A36,'Form A Mapping'!AB:AB)</f>
        <v>11131.840000000002</v>
      </c>
      <c r="H36" s="565">
        <f>SUMIF('Form A Mapping'!H:H, 'FY 24-25 Budget Form A'!A36,'Form A Mapping'!AC:AC)</f>
        <v>96500</v>
      </c>
      <c r="I36" s="565">
        <f>SUMIF('Form A Mapping'!H:H, 'FY 24-25 Budget Form A'!A36,'Form A Mapping'!AD:AD)</f>
        <v>37407.259999999995</v>
      </c>
      <c r="J36" s="565">
        <f>SUMIF('Form A Mapping'!H:H, 'FY 24-25 Budget Form A'!A36,'Form A Mapping'!AE:AE)</f>
        <v>47566.979999999996</v>
      </c>
      <c r="K36" s="565">
        <f>SUMIF('Form A Mapping'!H:H, 'FY 24-25 Budget Form A'!A36,'Form A Mapping'!AF:AF)</f>
        <v>71433.75</v>
      </c>
      <c r="L36" s="565">
        <f>SUMIF('Form A Mapping'!H:H, 'FY 24-25 Budget Form A'!A36,'Form A Mapping'!AG:AG)</f>
        <v>0</v>
      </c>
      <c r="M36" s="565">
        <f>SUMIF('Form A Mapping'!H:H, 'FY 24-25 Budget Form A'!A36,'Form A Mapping'!AH:AH)</f>
        <v>9188</v>
      </c>
      <c r="N36" s="565">
        <f>SUMIF('Form A Mapping'!H:H, 'FY 24-25 Budget Form A'!A36,'Form A Mapping'!AI:AI)</f>
        <v>0</v>
      </c>
    </row>
    <row r="37" spans="1:14" ht="16.899999999999999" customHeight="1">
      <c r="A37" s="545">
        <v>18</v>
      </c>
      <c r="C37" s="563" t="s">
        <v>685</v>
      </c>
      <c r="D37" s="590"/>
      <c r="E37" s="564" t="s">
        <v>686</v>
      </c>
      <c r="F37" s="567" t="s">
        <v>614</v>
      </c>
      <c r="G37" s="565">
        <f>SUMIF('Form A Mapping'!H:H, 'FY 24-25 Budget Form A'!A37,'Form A Mapping'!AB:AB)</f>
        <v>213447.97999999998</v>
      </c>
      <c r="H37" s="565">
        <f>SUMIF('Form A Mapping'!H:H, 'FY 24-25 Budget Form A'!A37,'Form A Mapping'!AC:AC)</f>
        <v>491495.18335880345</v>
      </c>
      <c r="I37" s="565">
        <f>SUMIF('Form A Mapping'!H:H, 'FY 24-25 Budget Form A'!A37,'Form A Mapping'!AD:AD)</f>
        <v>179869.89</v>
      </c>
      <c r="J37" s="565">
        <f>SUMIF('Form A Mapping'!H:H, 'FY 24-25 Budget Form A'!A37,'Form A Mapping'!AE:AE)</f>
        <v>140469.47922187843</v>
      </c>
      <c r="K37" s="565">
        <f>SUMIF('Form A Mapping'!H:H, 'FY 24-25 Budget Form A'!A37,'Form A Mapping'!AF:AF)</f>
        <v>80855.579999999987</v>
      </c>
      <c r="L37" s="565">
        <f>SUMIF('Form A Mapping'!H:H, 'FY 24-25 Budget Form A'!A37,'Form A Mapping'!AG:AG)</f>
        <v>0</v>
      </c>
      <c r="M37" s="565">
        <f>SUMIF('Form A Mapping'!H:H, 'FY 24-25 Budget Form A'!A37,'Form A Mapping'!AH:AH)</f>
        <v>0</v>
      </c>
      <c r="N37" s="565">
        <f>SUMIF('Form A Mapping'!H:H, 'FY 24-25 Budget Form A'!A37,'Form A Mapping'!AI:AI)</f>
        <v>0</v>
      </c>
    </row>
    <row r="38" spans="1:14" ht="16.899999999999999" customHeight="1">
      <c r="A38" s="545">
        <v>19</v>
      </c>
      <c r="C38" s="563" t="s">
        <v>687</v>
      </c>
      <c r="D38" s="590"/>
      <c r="E38" s="564" t="s">
        <v>688</v>
      </c>
      <c r="F38" s="567" t="s">
        <v>615</v>
      </c>
      <c r="G38" s="565">
        <f>SUMIF('Form A Mapping'!H:H, 'FY 24-25 Budget Form A'!A38,'Form A Mapping'!AB:AB)</f>
        <v>94920.59</v>
      </c>
      <c r="H38" s="565">
        <f>SUMIF('Form A Mapping'!H:H, 'FY 24-25 Budget Form A'!A38,'Form A Mapping'!AC:AC)</f>
        <v>351360</v>
      </c>
      <c r="I38" s="565">
        <f>SUMIF('Form A Mapping'!H:H, 'FY 24-25 Budget Form A'!A38,'Form A Mapping'!AD:AD)</f>
        <v>85845.8</v>
      </c>
      <c r="J38" s="565">
        <f>SUMIF('Form A Mapping'!H:H, 'FY 24-25 Budget Form A'!A38,'Form A Mapping'!AE:AE)</f>
        <v>169685.45</v>
      </c>
      <c r="K38" s="565">
        <f>SUMIF('Form A Mapping'!H:H, 'FY 24-25 Budget Form A'!A38,'Form A Mapping'!AF:AF)</f>
        <v>174385.52</v>
      </c>
      <c r="L38" s="565">
        <f>SUMIF('Form A Mapping'!H:H, 'FY 24-25 Budget Form A'!A38,'Form A Mapping'!AG:AG)</f>
        <v>0</v>
      </c>
      <c r="M38" s="565">
        <f>SUMIF('Form A Mapping'!H:H, 'FY 24-25 Budget Form A'!A38,'Form A Mapping'!AH:AH)</f>
        <v>0</v>
      </c>
      <c r="N38" s="565">
        <f>SUMIF('Form A Mapping'!H:H, 'FY 24-25 Budget Form A'!A38,'Form A Mapping'!AI:AI)</f>
        <v>0</v>
      </c>
    </row>
    <row r="39" spans="1:14" ht="16.899999999999999" customHeight="1" thickBot="1">
      <c r="A39" s="545">
        <v>20</v>
      </c>
      <c r="C39" s="563" t="s">
        <v>689</v>
      </c>
      <c r="D39" s="590"/>
      <c r="E39" s="568" t="s">
        <v>690</v>
      </c>
      <c r="F39" s="593" t="s">
        <v>616</v>
      </c>
      <c r="G39" s="565">
        <f>SUMIF('Form A Mapping'!H:H, 'FY 24-25 Budget Form A'!A39,'Form A Mapping'!AB:AB)</f>
        <v>87572.360000000015</v>
      </c>
      <c r="H39" s="565">
        <f>SUMIF('Form A Mapping'!H:H, 'FY 24-25 Budget Form A'!A39,'Form A Mapping'!AC:AC)</f>
        <v>174750</v>
      </c>
      <c r="I39" s="565">
        <f>SUMIF('Form A Mapping'!H:H, 'FY 24-25 Budget Form A'!A39,'Form A Mapping'!AD:AD)</f>
        <v>108102.09</v>
      </c>
      <c r="J39" s="565">
        <f>SUMIF('Form A Mapping'!H:H, 'FY 24-25 Budget Form A'!A39,'Form A Mapping'!AE:AE)</f>
        <v>113064.85</v>
      </c>
      <c r="K39" s="565">
        <f>SUMIF('Form A Mapping'!H:H, 'FY 24-25 Budget Form A'!A39,'Form A Mapping'!AF:AF)</f>
        <v>100257.41</v>
      </c>
      <c r="L39" s="565">
        <f>SUMIF('Form A Mapping'!H:H, 'FY 24-25 Budget Form A'!A39,'Form A Mapping'!AG:AG)</f>
        <v>0</v>
      </c>
      <c r="M39" s="565">
        <f>SUMIF('Form A Mapping'!H:H, 'FY 24-25 Budget Form A'!A39,'Form A Mapping'!AH:AH)</f>
        <v>0</v>
      </c>
      <c r="N39" s="565">
        <f>SUMIF('Form A Mapping'!H:H, 'FY 24-25 Budget Form A'!A39,'Form A Mapping'!AI:AI)</f>
        <v>0</v>
      </c>
    </row>
    <row r="40" spans="1:14" ht="16.899999999999999" customHeight="1" thickBot="1">
      <c r="A40" s="570"/>
      <c r="B40" s="571"/>
      <c r="C40" s="572"/>
      <c r="D40" s="592" t="s">
        <v>691</v>
      </c>
      <c r="E40" s="574"/>
      <c r="F40" s="575" t="s">
        <v>692</v>
      </c>
      <c r="G40" s="576">
        <f>SUM(G32:G39)</f>
        <v>1372716.85</v>
      </c>
      <c r="H40" s="576">
        <f>SUM(H32:H39)</f>
        <v>2637307.1111060577</v>
      </c>
      <c r="I40" s="576">
        <f t="shared" ref="I40:N40" si="5">SUM(I32:I39)</f>
        <v>1018462.27</v>
      </c>
      <c r="J40" s="576">
        <f t="shared" si="5"/>
        <v>1100331.0970161438</v>
      </c>
      <c r="K40" s="576">
        <f t="shared" si="5"/>
        <v>912273.76</v>
      </c>
      <c r="L40" s="576">
        <f t="shared" si="5"/>
        <v>354130</v>
      </c>
      <c r="M40" s="576">
        <f t="shared" si="5"/>
        <v>16961.309999999998</v>
      </c>
      <c r="N40" s="576">
        <f t="shared" si="5"/>
        <v>9406.5</v>
      </c>
    </row>
    <row r="41" spans="1:14" ht="25" customHeight="1">
      <c r="A41" s="545"/>
      <c r="B41" s="589" t="s">
        <v>693</v>
      </c>
      <c r="C41" s="563"/>
      <c r="D41" s="590"/>
      <c r="E41" s="561"/>
      <c r="F41" s="546"/>
      <c r="G41" s="588"/>
      <c r="H41" s="588"/>
      <c r="I41" s="588"/>
      <c r="J41" s="588"/>
      <c r="K41" s="588"/>
      <c r="L41" s="588"/>
      <c r="M41" s="588"/>
      <c r="N41" s="588"/>
    </row>
    <row r="42" spans="1:14" ht="16.899999999999999" customHeight="1">
      <c r="A42" s="545">
        <v>21</v>
      </c>
      <c r="B42" s="563"/>
      <c r="C42" s="563" t="s">
        <v>694</v>
      </c>
      <c r="D42" s="590"/>
      <c r="E42" s="564" t="s">
        <v>582</v>
      </c>
      <c r="F42" s="567" t="s">
        <v>617</v>
      </c>
      <c r="G42" s="565">
        <f>SUMIF('Form A Mapping'!H:H, 'FY 24-25 Budget Form A'!A42,'Form A Mapping'!AB:AB)</f>
        <v>1019.86</v>
      </c>
      <c r="H42" s="565">
        <f>SUMIF('Form A Mapping'!H:H, 'FY 24-25 Budget Form A'!A42,'Form A Mapping'!AC:AC)</f>
        <v>0</v>
      </c>
      <c r="I42" s="565">
        <f>SUMIF('Form A Mapping'!H:H, 'FY 24-25 Budget Form A'!A42,'Form A Mapping'!AD:AD)</f>
        <v>7977.32</v>
      </c>
      <c r="J42" s="565">
        <f>SUMIF('Form A Mapping'!H:H, 'FY 24-25 Budget Form A'!A42,'Form A Mapping'!AE:AE)</f>
        <v>72710.44</v>
      </c>
      <c r="K42" s="565">
        <f>SUMIF('Form A Mapping'!H:H, 'FY 24-25 Budget Form A'!A42,'Form A Mapping'!AF:AF)</f>
        <v>144882.23999999999</v>
      </c>
      <c r="L42" s="565">
        <f>SUMIF('Form A Mapping'!H:H, 'FY 24-25 Budget Form A'!A42,'Form A Mapping'!AG:AG)</f>
        <v>267500</v>
      </c>
      <c r="M42" s="565">
        <f>SUMIF('Form A Mapping'!H:H, 'FY 24-25 Budget Form A'!A42,'Form A Mapping'!AH:AH)</f>
        <v>52290.81</v>
      </c>
      <c r="N42" s="565">
        <f>SUMIF('Form A Mapping'!H:H, 'FY 24-25 Budget Form A'!A42,'Form A Mapping'!AI:AI)</f>
        <v>65056.5</v>
      </c>
    </row>
    <row r="43" spans="1:14" ht="16.899999999999999" customHeight="1">
      <c r="A43" s="545">
        <v>22</v>
      </c>
      <c r="B43" s="563"/>
      <c r="C43" s="563" t="s">
        <v>695</v>
      </c>
      <c r="D43" s="590"/>
      <c r="E43" s="564" t="s">
        <v>696</v>
      </c>
      <c r="F43" s="567" t="s">
        <v>618</v>
      </c>
      <c r="G43" s="565">
        <f>SUMIF('Form A Mapping'!H:H, 'FY 24-25 Budget Form A'!A43,'Form A Mapping'!AB:AB)</f>
        <v>0</v>
      </c>
      <c r="H43" s="565">
        <f>SUMIF('Form A Mapping'!H:H, 'FY 24-25 Budget Form A'!A43,'Form A Mapping'!AC:AC)</f>
        <v>0</v>
      </c>
      <c r="I43" s="565">
        <f>SUMIF('Form A Mapping'!H:H, 'FY 24-25 Budget Form A'!A43,'Form A Mapping'!AD:AD)</f>
        <v>0</v>
      </c>
      <c r="J43" s="565">
        <f>SUMIF('Form A Mapping'!H:H, 'FY 24-25 Budget Form A'!A43,'Form A Mapping'!AE:AE)</f>
        <v>0</v>
      </c>
      <c r="K43" s="565">
        <f>SUMIF('Form A Mapping'!H:H, 'FY 24-25 Budget Form A'!A43,'Form A Mapping'!AF:AF)</f>
        <v>0</v>
      </c>
      <c r="L43" s="565">
        <f>SUMIF('Form A Mapping'!H:H, 'FY 24-25 Budget Form A'!A43,'Form A Mapping'!AG:AG)</f>
        <v>0</v>
      </c>
      <c r="M43" s="565">
        <f>SUMIF('Form A Mapping'!H:H, 'FY 24-25 Budget Form A'!A43,'Form A Mapping'!AH:AH)</f>
        <v>0</v>
      </c>
      <c r="N43" s="565">
        <f>SUMIF('Form A Mapping'!H:H, 'FY 24-25 Budget Form A'!A43,'Form A Mapping'!AI:AI)</f>
        <v>0</v>
      </c>
    </row>
    <row r="44" spans="1:14" ht="16.899999999999999" customHeight="1" thickBot="1">
      <c r="A44" s="545">
        <v>23</v>
      </c>
      <c r="B44" s="563"/>
      <c r="C44" s="563" t="s">
        <v>697</v>
      </c>
      <c r="D44" s="590"/>
      <c r="E44" s="568" t="s">
        <v>698</v>
      </c>
      <c r="F44" s="569" t="s">
        <v>619</v>
      </c>
      <c r="G44" s="565">
        <f>SUMIF('Form A Mapping'!H:H, 'FY 24-25 Budget Form A'!A44,'Form A Mapping'!AB:AB)</f>
        <v>0</v>
      </c>
      <c r="H44" s="565">
        <f>SUMIF('Form A Mapping'!H:H, 'FY 24-25 Budget Form A'!A44,'Form A Mapping'!AC:AC)</f>
        <v>0</v>
      </c>
      <c r="I44" s="565">
        <f>SUMIF('Form A Mapping'!H:H, 'FY 24-25 Budget Form A'!A44,'Form A Mapping'!AD:AD)</f>
        <v>0</v>
      </c>
      <c r="J44" s="565">
        <f>SUMIF('Form A Mapping'!H:H, 'FY 24-25 Budget Form A'!A44,'Form A Mapping'!AE:AE)</f>
        <v>0</v>
      </c>
      <c r="K44" s="565">
        <f>SUMIF('Form A Mapping'!H:H, 'FY 24-25 Budget Form A'!A44,'Form A Mapping'!AF:AF)</f>
        <v>0</v>
      </c>
      <c r="L44" s="565">
        <f>SUMIF('Form A Mapping'!H:H, 'FY 24-25 Budget Form A'!A44,'Form A Mapping'!AG:AG)</f>
        <v>0</v>
      </c>
      <c r="M44" s="565">
        <f>SUMIF('Form A Mapping'!H:H, 'FY 24-25 Budget Form A'!A44,'Form A Mapping'!AH:AH)</f>
        <v>0</v>
      </c>
      <c r="N44" s="565">
        <f>SUMIF('Form A Mapping'!H:H, 'FY 24-25 Budget Form A'!A44,'Form A Mapping'!AI:AI)</f>
        <v>0</v>
      </c>
    </row>
    <row r="45" spans="1:14" ht="16.899999999999999" customHeight="1" thickBot="1">
      <c r="A45" s="570"/>
      <c r="B45" s="572"/>
      <c r="C45" s="572"/>
      <c r="D45" s="592" t="s">
        <v>699</v>
      </c>
      <c r="E45" s="574"/>
      <c r="F45" s="575" t="s">
        <v>700</v>
      </c>
      <c r="G45" s="576">
        <f>SUM(G42:G44)</f>
        <v>1019.86</v>
      </c>
      <c r="H45" s="576">
        <f>SUM(H42:H44)</f>
        <v>0</v>
      </c>
      <c r="I45" s="576">
        <f t="shared" ref="I45:N45" si="6">SUM(I42:I44)</f>
        <v>7977.32</v>
      </c>
      <c r="J45" s="576">
        <f t="shared" si="6"/>
        <v>72710.44</v>
      </c>
      <c r="K45" s="576">
        <f t="shared" si="6"/>
        <v>144882.23999999999</v>
      </c>
      <c r="L45" s="576">
        <f t="shared" si="6"/>
        <v>267500</v>
      </c>
      <c r="M45" s="576">
        <f t="shared" si="6"/>
        <v>52290.81</v>
      </c>
      <c r="N45" s="576">
        <f t="shared" si="6"/>
        <v>65056.5</v>
      </c>
    </row>
    <row r="46" spans="1:14" ht="30" customHeight="1">
      <c r="A46" s="545">
        <v>24</v>
      </c>
      <c r="B46" s="563" t="s">
        <v>701</v>
      </c>
      <c r="D46" s="546"/>
      <c r="E46" s="564" t="s">
        <v>652</v>
      </c>
      <c r="F46" s="516" t="s">
        <v>620</v>
      </c>
      <c r="G46" s="565">
        <f>SUMIF('Form A Mapping'!H:H, 'FY 24-25 Budget Form A'!A46,'Form A Mapping'!AB:AB)</f>
        <v>0</v>
      </c>
      <c r="H46" s="565">
        <f>SUMIF('Form A Mapping'!H:H, 'FY 24-25 Budget Form A'!A46,'Form A Mapping'!AC:AC)</f>
        <v>0</v>
      </c>
      <c r="I46" s="565">
        <f>SUMIF('Form A Mapping'!H:H, 'FY 24-25 Budget Form A'!A46,'Form A Mapping'!AD:AD)</f>
        <v>0</v>
      </c>
      <c r="J46" s="565">
        <f>SUMIF('Form A Mapping'!H:H, 'FY 24-25 Budget Form A'!A46,'Form A Mapping'!AE:AE)</f>
        <v>0</v>
      </c>
      <c r="K46" s="565">
        <f>SUMIF('Form A Mapping'!H:H, 'FY 24-25 Budget Form A'!A46,'Form A Mapping'!AF:AF)</f>
        <v>0</v>
      </c>
      <c r="L46" s="565">
        <f>SUMIF('Form A Mapping'!H:H, 'FY 24-25 Budget Form A'!A46,'Form A Mapping'!AG:AG)</f>
        <v>0</v>
      </c>
      <c r="M46" s="565">
        <f>SUMIF('Form A Mapping'!H:H, 'FY 24-25 Budget Form A'!A46,'Form A Mapping'!AH:AH)</f>
        <v>0</v>
      </c>
      <c r="N46" s="565">
        <f>SUMIF('Form A Mapping'!H:H, 'FY 24-25 Budget Form A'!A46,'Form A Mapping'!AI:AI)</f>
        <v>0</v>
      </c>
    </row>
    <row r="47" spans="1:14" ht="30" customHeight="1">
      <c r="A47" s="545">
        <v>25</v>
      </c>
      <c r="B47" s="563" t="s">
        <v>702</v>
      </c>
      <c r="D47" s="546"/>
      <c r="E47" s="564" t="s">
        <v>703</v>
      </c>
      <c r="F47" s="516" t="s">
        <v>621</v>
      </c>
      <c r="G47" s="565">
        <f>SUMIF('Form A Mapping'!H:H, 'FY 24-25 Budget Form A'!A47,'Form A Mapping'!AB:AB)</f>
        <v>0</v>
      </c>
      <c r="H47" s="565">
        <f>SUMIF('Form A Mapping'!H:H, 'FY 24-25 Budget Form A'!A47,'Form A Mapping'!AC:AC)</f>
        <v>0</v>
      </c>
      <c r="I47" s="565">
        <f>SUMIF('Form A Mapping'!H:H, 'FY 24-25 Budget Form A'!A47,'Form A Mapping'!AD:AD)</f>
        <v>0</v>
      </c>
      <c r="J47" s="565">
        <f>SUMIF('Form A Mapping'!H:H, 'FY 24-25 Budget Form A'!A47,'Form A Mapping'!AE:AE)</f>
        <v>0</v>
      </c>
      <c r="K47" s="565">
        <f>SUMIF('Form A Mapping'!H:H, 'FY 24-25 Budget Form A'!A47,'Form A Mapping'!AF:AF)</f>
        <v>0</v>
      </c>
      <c r="L47" s="565">
        <f>SUMIF('Form A Mapping'!H:H, 'FY 24-25 Budget Form A'!A47,'Form A Mapping'!AG:AG)</f>
        <v>0</v>
      </c>
      <c r="M47" s="565">
        <f>SUMIF('Form A Mapping'!H:H, 'FY 24-25 Budget Form A'!A47,'Form A Mapping'!AH:AH)</f>
        <v>0</v>
      </c>
      <c r="N47" s="565">
        <f>SUMIF('Form A Mapping'!H:H, 'FY 24-25 Budget Form A'!A47,'Form A Mapping'!AI:AI)</f>
        <v>0</v>
      </c>
    </row>
    <row r="48" spans="1:14" ht="19.899999999999999" customHeight="1" thickBot="1">
      <c r="A48" s="545"/>
      <c r="D48" s="546"/>
      <c r="E48" s="561"/>
      <c r="F48" s="546"/>
      <c r="G48" s="565">
        <f>SUMIF('Form A Mapping'!H:H, 'FY 24-25 Budget Form A'!A48,'Form A Mapping'!AB:AB)</f>
        <v>0</v>
      </c>
      <c r="H48" s="565">
        <f>SUMIF('Form A Mapping'!H:H, 'FY 24-25 Budget Form A'!A48,'Form A Mapping'!AC:AC)</f>
        <v>0</v>
      </c>
      <c r="I48" s="565">
        <f>SUMIF('Form A Mapping'!H:H, 'FY 24-25 Budget Form A'!A48,'Form A Mapping'!AD:AD)</f>
        <v>0</v>
      </c>
      <c r="J48" s="565">
        <f>SUMIF('Form A Mapping'!H:H, 'FY 24-25 Budget Form A'!A48,'Form A Mapping'!AE:AE)</f>
        <v>0</v>
      </c>
      <c r="K48" s="565">
        <f>SUMIF('Form A Mapping'!H:H, 'FY 24-25 Budget Form A'!A48,'Form A Mapping'!AF:AF)</f>
        <v>0</v>
      </c>
      <c r="L48" s="565">
        <f>SUMIF('Form A Mapping'!H:H, 'FY 24-25 Budget Form A'!A48,'Form A Mapping'!AG:AG)</f>
        <v>0</v>
      </c>
      <c r="M48" s="565">
        <f>SUMIF('Form A Mapping'!H:H, 'FY 24-25 Budget Form A'!A48,'Form A Mapping'!AH:AH)</f>
        <v>0</v>
      </c>
      <c r="N48" s="565">
        <f>SUMIF('Form A Mapping'!H:H, 'FY 24-25 Budget Form A'!A48,'Form A Mapping'!AI:AI)</f>
        <v>0</v>
      </c>
    </row>
    <row r="49" spans="1:17" ht="16.899999999999999" customHeight="1" thickBot="1">
      <c r="A49" s="570"/>
      <c r="B49" s="571"/>
      <c r="C49" s="572" t="s">
        <v>624</v>
      </c>
      <c r="D49" s="573"/>
      <c r="E49" s="574"/>
      <c r="F49" s="575" t="s">
        <v>704</v>
      </c>
      <c r="G49" s="576">
        <f>G30+G40+G45+G46+G47</f>
        <v>2005697.0200000003</v>
      </c>
      <c r="H49" s="576">
        <f>H30+H40+H45+H46+H47</f>
        <v>3482031.9719571527</v>
      </c>
      <c r="I49" s="576">
        <f t="shared" ref="I49:N49" si="7">I30+I40+I45+I46+I47</f>
        <v>1690130.5600000003</v>
      </c>
      <c r="J49" s="576">
        <f t="shared" si="7"/>
        <v>1643394.12</v>
      </c>
      <c r="K49" s="576">
        <f t="shared" si="7"/>
        <v>1808071</v>
      </c>
      <c r="L49" s="576">
        <f t="shared" si="7"/>
        <v>1621630</v>
      </c>
      <c r="M49" s="576">
        <f t="shared" si="7"/>
        <v>247200.51</v>
      </c>
      <c r="N49" s="576">
        <f t="shared" si="7"/>
        <v>410629.38</v>
      </c>
      <c r="O49" s="943"/>
    </row>
    <row r="50" spans="1:17" ht="30" customHeight="1">
      <c r="A50" s="545">
        <v>26</v>
      </c>
      <c r="B50" s="563" t="s">
        <v>705</v>
      </c>
      <c r="D50" s="546"/>
      <c r="E50" s="564" t="s">
        <v>584</v>
      </c>
      <c r="F50" s="516" t="s">
        <v>622</v>
      </c>
      <c r="G50" s="565">
        <f>SUMIF('Form A Mapping'!H:H, 'FY 24-25 Budget Form A'!A50,'Form A Mapping'!AB:AB)</f>
        <v>-201494.82</v>
      </c>
      <c r="H50" s="565">
        <f>SUMIF('Form A Mapping'!H:H, 'FY 24-25 Budget Form A'!A50,'Form A Mapping'!AC:AC)</f>
        <v>-185000</v>
      </c>
      <c r="I50" s="565">
        <f>SUMIF('Form A Mapping'!H:H, 'FY 24-25 Budget Form A'!A50,'Form A Mapping'!AD:AD)</f>
        <v>-7331</v>
      </c>
      <c r="J50" s="565">
        <f>SUMIF('Form A Mapping'!H:H, 'FY 24-25 Budget Form A'!A50,'Form A Mapping'!AE:AE)</f>
        <v>-29970</v>
      </c>
      <c r="K50" s="565">
        <f>SUMIF('Form A Mapping'!H:H, 'FY 24-25 Budget Form A'!A50,'Form A Mapping'!AF:AF)</f>
        <v>201494.82</v>
      </c>
      <c r="L50" s="565">
        <f>SUMIF('Form A Mapping'!H:H, 'FY 24-25 Budget Form A'!A50,'Form A Mapping'!AG:AG)</f>
        <v>0</v>
      </c>
      <c r="M50" s="565">
        <f>SUMIF('Form A Mapping'!H:H, 'FY 24-25 Budget Form A'!A50,'Form A Mapping'!AH:AH)</f>
        <v>7331</v>
      </c>
      <c r="N50" s="565">
        <f>SUMIF('Form A Mapping'!H:H, 'FY 24-25 Budget Form A'!A50,'Form A Mapping'!AI:AI)</f>
        <v>29970</v>
      </c>
    </row>
    <row r="51" spans="1:17" ht="25" customHeight="1" thickBot="1">
      <c r="A51" s="545"/>
      <c r="D51" s="546"/>
      <c r="E51" s="561"/>
      <c r="F51" s="546"/>
      <c r="G51" s="565">
        <f>SUMIF('Form A Mapping'!H:H, 'FY 24-25 Budget Form A'!A51,'Form A Mapping'!AB:AB)</f>
        <v>0</v>
      </c>
      <c r="H51" s="565">
        <f>SUMIF('Form A Mapping'!H:H, 'FY 24-25 Budget Form A'!A51,'Form A Mapping'!AC:AC)</f>
        <v>0</v>
      </c>
      <c r="I51" s="565">
        <f>SUMIF('Form A Mapping'!H:H, 'FY 24-25 Budget Form A'!A51,'Form A Mapping'!AD:AD)</f>
        <v>0</v>
      </c>
      <c r="J51" s="565">
        <f>SUMIF('Form A Mapping'!H:H, 'FY 24-25 Budget Form A'!A51,'Form A Mapping'!AE:AE)</f>
        <v>0</v>
      </c>
      <c r="K51" s="565">
        <f>SUMIF('Form A Mapping'!H:H, 'FY 24-25 Budget Form A'!A51,'Form A Mapping'!AF:AF)</f>
        <v>0</v>
      </c>
      <c r="L51" s="565">
        <f>SUMIF('Form A Mapping'!H:H, 'FY 24-25 Budget Form A'!A51,'Form A Mapping'!AG:AG)</f>
        <v>0</v>
      </c>
      <c r="M51" s="565">
        <f>SUMIF('Form A Mapping'!H:H, 'FY 24-25 Budget Form A'!A51,'Form A Mapping'!AH:AH)</f>
        <v>0</v>
      </c>
      <c r="N51" s="565">
        <f>SUMIF('Form A Mapping'!H:H, 'FY 24-25 Budget Form A'!A51,'Form A Mapping'!AI:AI)</f>
        <v>0</v>
      </c>
    </row>
    <row r="52" spans="1:17" ht="16.899999999999999" customHeight="1" thickTop="1" thickBot="1">
      <c r="A52" s="581"/>
      <c r="B52" s="582" t="s">
        <v>706</v>
      </c>
      <c r="C52" s="583"/>
      <c r="D52" s="584"/>
      <c r="E52" s="585"/>
      <c r="F52" s="586" t="s">
        <v>660</v>
      </c>
      <c r="G52" s="587">
        <f>G49+G50</f>
        <v>1804202.2000000002</v>
      </c>
      <c r="H52" s="587">
        <f>H49+H50</f>
        <v>3297031.9719571527</v>
      </c>
      <c r="I52" s="587">
        <f t="shared" ref="I52:N52" si="8">I49+I50</f>
        <v>1682799.5600000003</v>
      </c>
      <c r="J52" s="587">
        <f t="shared" si="8"/>
        <v>1613424.12</v>
      </c>
      <c r="K52" s="587">
        <f t="shared" si="8"/>
        <v>2009565.82</v>
      </c>
      <c r="L52" s="587">
        <f t="shared" si="8"/>
        <v>1621630</v>
      </c>
      <c r="M52" s="587">
        <f t="shared" si="8"/>
        <v>254531.51</v>
      </c>
      <c r="N52" s="587">
        <f t="shared" si="8"/>
        <v>440599.38</v>
      </c>
      <c r="O52" s="943"/>
      <c r="Q52" s="943"/>
    </row>
    <row r="53" spans="1:17" ht="25" customHeight="1" thickTop="1">
      <c r="A53" s="560"/>
      <c r="B53" s="594"/>
      <c r="C53" s="594"/>
      <c r="D53" s="595"/>
      <c r="E53" s="561"/>
      <c r="F53" s="546"/>
      <c r="G53" s="596"/>
      <c r="H53" s="588"/>
      <c r="I53" s="588"/>
      <c r="J53" s="588"/>
      <c r="K53" s="588"/>
      <c r="L53" s="588"/>
      <c r="M53" s="588"/>
      <c r="N53" s="588"/>
    </row>
    <row r="54" spans="1:17" ht="30" customHeight="1">
      <c r="A54" s="545"/>
      <c r="B54" s="563" t="s">
        <v>707</v>
      </c>
      <c r="D54" s="546"/>
      <c r="E54" s="561"/>
      <c r="F54" s="546"/>
      <c r="G54" s="596"/>
      <c r="H54" s="588"/>
      <c r="I54" s="588"/>
      <c r="J54" s="588"/>
      <c r="K54" s="588"/>
      <c r="L54" s="588"/>
      <c r="M54" s="588"/>
      <c r="N54" s="588"/>
    </row>
    <row r="55" spans="1:17">
      <c r="A55" s="545"/>
      <c r="C55" s="563" t="s">
        <v>708</v>
      </c>
      <c r="D55" s="546"/>
      <c r="E55" s="597" t="s">
        <v>709</v>
      </c>
      <c r="F55" s="598" t="s">
        <v>710</v>
      </c>
      <c r="G55" s="599">
        <f>G21-G52</f>
        <v>326366.12999999989</v>
      </c>
      <c r="H55" s="599">
        <f>H21-H52</f>
        <v>1752.2607350004837</v>
      </c>
      <c r="I55" s="599">
        <f t="shared" ref="I55:N55" si="9">I21-I52</f>
        <v>-501894.00000000023</v>
      </c>
      <c r="J55" s="599">
        <f t="shared" si="9"/>
        <v>147130.41999999993</v>
      </c>
      <c r="K55" s="599">
        <f t="shared" si="9"/>
        <v>14500</v>
      </c>
      <c r="L55" s="599">
        <f t="shared" si="9"/>
        <v>0.27514648460783064</v>
      </c>
      <c r="M55" s="599">
        <f t="shared" si="9"/>
        <v>574072.79</v>
      </c>
      <c r="N55" s="599">
        <f t="shared" si="9"/>
        <v>328889.41000000003</v>
      </c>
    </row>
    <row r="56" spans="1:17" ht="25" customHeight="1">
      <c r="A56" s="545"/>
      <c r="B56" s="563" t="s">
        <v>711</v>
      </c>
      <c r="D56" s="546"/>
      <c r="E56" s="577"/>
      <c r="F56" s="516" t="s">
        <v>712</v>
      </c>
      <c r="G56" s="565"/>
      <c r="H56" s="565"/>
      <c r="I56" s="565"/>
      <c r="J56" s="565"/>
      <c r="K56" s="565"/>
      <c r="L56" s="565"/>
      <c r="M56" s="565"/>
      <c r="N56" s="565"/>
    </row>
    <row r="57" spans="1:17" ht="19.899999999999999" customHeight="1">
      <c r="A57" s="545"/>
      <c r="B57" s="563" t="s">
        <v>713</v>
      </c>
      <c r="D57" s="546"/>
      <c r="E57" s="577"/>
      <c r="F57" s="516" t="s">
        <v>714</v>
      </c>
      <c r="G57" s="565"/>
      <c r="H57" s="565"/>
      <c r="I57" s="565"/>
      <c r="J57" s="565"/>
      <c r="K57" s="565"/>
      <c r="L57" s="565"/>
      <c r="M57" s="565"/>
      <c r="N57" s="565"/>
    </row>
    <row r="58" spans="1:17" ht="19.899999999999999" customHeight="1">
      <c r="A58" s="545"/>
      <c r="B58" s="563" t="s">
        <v>715</v>
      </c>
      <c r="D58" s="546"/>
      <c r="E58" s="577"/>
      <c r="F58" s="516" t="s">
        <v>716</v>
      </c>
      <c r="G58" s="565"/>
      <c r="H58" s="565"/>
      <c r="I58" s="565"/>
      <c r="J58" s="565"/>
      <c r="K58" s="565"/>
      <c r="L58" s="565"/>
      <c r="M58" s="565"/>
      <c r="N58" s="565"/>
    </row>
    <row r="59" spans="1:17" ht="19.899999999999999" customHeight="1">
      <c r="A59" s="545"/>
      <c r="B59" s="563" t="s">
        <v>717</v>
      </c>
      <c r="D59" s="546"/>
      <c r="E59" s="577"/>
      <c r="F59" s="516" t="s">
        <v>718</v>
      </c>
      <c r="G59" s="565">
        <f>'Annual Budget '!F159</f>
        <v>1778070</v>
      </c>
      <c r="H59" s="580"/>
      <c r="I59" s="580"/>
      <c r="J59" s="580"/>
      <c r="K59" s="565"/>
      <c r="L59" s="565"/>
      <c r="M59" s="565"/>
      <c r="N59" s="580">
        <f>K60</f>
        <v>14500</v>
      </c>
    </row>
    <row r="60" spans="1:17" ht="19.899999999999999" customHeight="1">
      <c r="A60" s="545"/>
      <c r="B60" s="563" t="s">
        <v>719</v>
      </c>
      <c r="D60" s="546"/>
      <c r="E60" s="597" t="s">
        <v>709</v>
      </c>
      <c r="F60" s="598" t="s">
        <v>720</v>
      </c>
      <c r="G60" s="599">
        <f>SUM(G55:G59)</f>
        <v>2104436.13</v>
      </c>
      <c r="H60" s="599">
        <f>SUM(H55:H59)</f>
        <v>1752.2607350004837</v>
      </c>
      <c r="I60" s="599">
        <f t="shared" ref="I60:N60" si="10">SUM(I55:I59)</f>
        <v>-501894.00000000023</v>
      </c>
      <c r="J60" s="599">
        <f t="shared" si="10"/>
        <v>147130.41999999993</v>
      </c>
      <c r="K60" s="599">
        <f t="shared" si="10"/>
        <v>14500</v>
      </c>
      <c r="L60" s="599">
        <f t="shared" si="10"/>
        <v>0.27514648460783064</v>
      </c>
      <c r="M60" s="599">
        <f t="shared" si="10"/>
        <v>574072.79</v>
      </c>
      <c r="N60" s="599">
        <f t="shared" si="10"/>
        <v>343389.41000000003</v>
      </c>
      <c r="O60" s="943"/>
      <c r="Q60" s="943"/>
    </row>
    <row r="61" spans="1:17" ht="13.9" customHeight="1" thickBot="1">
      <c r="A61" s="551"/>
      <c r="B61" s="552"/>
      <c r="C61" s="552"/>
      <c r="D61" s="553"/>
      <c r="E61" s="600"/>
      <c r="F61" s="553"/>
      <c r="G61" s="601"/>
      <c r="H61" s="553"/>
      <c r="I61" s="553"/>
      <c r="J61" s="553"/>
      <c r="K61" s="553"/>
      <c r="L61" s="553"/>
      <c r="M61" s="553"/>
      <c r="N61" s="553"/>
    </row>
    <row r="62" spans="1:17" ht="16" thickTop="1"/>
    <row r="63" spans="1:17">
      <c r="B63" s="602" t="s">
        <v>721</v>
      </c>
    </row>
    <row r="67" spans="2:2">
      <c r="B67" s="530"/>
    </row>
  </sheetData>
  <protectedRanges>
    <protectedRange password="D8D3" sqref="G56:N58 K59:M59 G59 J16 K13:N17 G13:I17 K19:N19 G19:I19 K24:N29 G24:I29 K32:N39 G32:I39 K42:N44 G42:I44 K46:N48 G46:I48 K50:N51 G50:I51" name="Range1"/>
  </protectedRanges>
  <mergeCells count="9">
    <mergeCell ref="L9:L11"/>
    <mergeCell ref="M9:M11"/>
    <mergeCell ref="N9:N11"/>
    <mergeCell ref="D4:D5"/>
    <mergeCell ref="G9:G11"/>
    <mergeCell ref="H9:H11"/>
    <mergeCell ref="I9:I11"/>
    <mergeCell ref="J9:J11"/>
    <mergeCell ref="K9:K11"/>
  </mergeCell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63E51-435F-41C4-9A8A-A11BFA89D252}">
  <sheetPr codeName="Sheet2"/>
  <dimension ref="A1:Q174"/>
  <sheetViews>
    <sheetView workbookViewId="0">
      <selection activeCell="D9" sqref="D9"/>
    </sheetView>
  </sheetViews>
  <sheetFormatPr defaultRowHeight="15.5"/>
  <cols>
    <col min="1" max="1" width="8.69140625" bestFit="1" customWidth="1"/>
    <col min="2" max="2" width="11.765625" bestFit="1" customWidth="1"/>
    <col min="3" max="4" width="8.69140625" customWidth="1"/>
    <col min="7" max="7" width="29.84375" bestFit="1" customWidth="1"/>
    <col min="8" max="8" width="7.69140625" bestFit="1" customWidth="1"/>
    <col min="9" max="9" width="11" bestFit="1" customWidth="1"/>
    <col min="10" max="10" width="9.07421875" bestFit="1" customWidth="1"/>
    <col min="11" max="11" width="12.4609375" style="477" bestFit="1" customWidth="1"/>
    <col min="12" max="12" width="10" bestFit="1" customWidth="1"/>
    <col min="13" max="13" width="10.4609375" bestFit="1" customWidth="1"/>
    <col min="15" max="15" width="14.53515625" bestFit="1" customWidth="1"/>
    <col min="16" max="16" width="12.53515625" bestFit="1" customWidth="1"/>
    <col min="17" max="17" width="13.53515625" bestFit="1" customWidth="1"/>
  </cols>
  <sheetData>
    <row r="1" spans="1:13">
      <c r="A1" t="s">
        <v>277</v>
      </c>
      <c r="B1" t="s">
        <v>276</v>
      </c>
      <c r="C1" t="s">
        <v>579</v>
      </c>
      <c r="D1" t="s">
        <v>578</v>
      </c>
      <c r="E1" s="470"/>
      <c r="F1" s="470"/>
      <c r="G1" s="471" t="s">
        <v>236</v>
      </c>
      <c r="H1" s="471" t="s">
        <v>282</v>
      </c>
      <c r="I1" s="471" t="s">
        <v>260</v>
      </c>
      <c r="J1" s="471" t="s">
        <v>261</v>
      </c>
      <c r="K1" s="471" t="s">
        <v>569</v>
      </c>
      <c r="L1" s="471" t="s">
        <v>570</v>
      </c>
      <c r="M1" s="471" t="s">
        <v>571</v>
      </c>
    </row>
    <row r="2" spans="1:13">
      <c r="E2" s="472" t="s">
        <v>237</v>
      </c>
      <c r="F2" s="472"/>
      <c r="G2" s="473"/>
      <c r="H2" s="473"/>
      <c r="I2" s="473"/>
      <c r="J2" s="478"/>
    </row>
    <row r="3" spans="1:13">
      <c r="E3" s="472"/>
      <c r="F3" s="472" t="s">
        <v>238</v>
      </c>
      <c r="G3" s="473"/>
      <c r="H3" s="473"/>
      <c r="I3" s="473"/>
      <c r="J3" s="478"/>
    </row>
    <row r="4" spans="1:13">
      <c r="A4" t="str">
        <f t="shared" ref="A4:A35" si="0">LEFT(G4, 7)</f>
        <v>1994000</v>
      </c>
      <c r="B4">
        <v>7</v>
      </c>
      <c r="D4">
        <v>1</v>
      </c>
      <c r="E4" s="472"/>
      <c r="F4" s="472"/>
      <c r="G4" s="473" t="s">
        <v>283</v>
      </c>
      <c r="H4" s="473"/>
      <c r="I4" s="476">
        <f>H4-J4</f>
        <v>0</v>
      </c>
      <c r="J4" s="478"/>
    </row>
    <row r="5" spans="1:13">
      <c r="A5" t="str">
        <f t="shared" si="0"/>
        <v>1994000</v>
      </c>
      <c r="B5">
        <v>7</v>
      </c>
      <c r="D5">
        <v>1</v>
      </c>
      <c r="E5" s="472"/>
      <c r="F5" s="472"/>
      <c r="G5" s="473" t="s">
        <v>284</v>
      </c>
      <c r="H5" s="473">
        <v>1949250</v>
      </c>
      <c r="I5" s="476">
        <f t="shared" ref="I5:I68" si="1">H5-J5</f>
        <v>1949250</v>
      </c>
      <c r="J5" s="478"/>
    </row>
    <row r="6" spans="1:13">
      <c r="A6" t="str">
        <f t="shared" si="0"/>
        <v>3110000</v>
      </c>
      <c r="B6">
        <v>16</v>
      </c>
      <c r="D6">
        <v>3</v>
      </c>
      <c r="E6" s="472"/>
      <c r="F6" s="472"/>
      <c r="G6" s="473" t="s">
        <v>285</v>
      </c>
      <c r="H6" s="473"/>
      <c r="I6" s="476">
        <f t="shared" si="1"/>
        <v>0</v>
      </c>
      <c r="J6" s="478"/>
    </row>
    <row r="7" spans="1:13">
      <c r="A7" t="str">
        <f t="shared" si="0"/>
        <v>3110000</v>
      </c>
      <c r="B7">
        <v>16</v>
      </c>
      <c r="D7">
        <v>3</v>
      </c>
      <c r="E7" s="472"/>
      <c r="F7" s="472"/>
      <c r="G7" s="473" t="s">
        <v>286</v>
      </c>
      <c r="H7" s="473">
        <v>1344316.2326921532</v>
      </c>
      <c r="I7" s="476">
        <f t="shared" si="1"/>
        <v>1344316.2326921532</v>
      </c>
      <c r="J7" s="478"/>
    </row>
    <row r="8" spans="1:13">
      <c r="A8" t="str">
        <f t="shared" si="0"/>
        <v>3240000</v>
      </c>
      <c r="B8">
        <v>22</v>
      </c>
      <c r="D8">
        <v>2</v>
      </c>
      <c r="E8" s="472"/>
      <c r="F8" s="472"/>
      <c r="G8" s="473" t="s">
        <v>287</v>
      </c>
      <c r="H8" s="473"/>
      <c r="I8" s="476">
        <f t="shared" si="1"/>
        <v>0</v>
      </c>
      <c r="J8" s="478"/>
    </row>
    <row r="9" spans="1:13">
      <c r="A9" t="str">
        <f t="shared" si="0"/>
        <v>3290000</v>
      </c>
      <c r="B9">
        <v>25</v>
      </c>
      <c r="D9">
        <v>2</v>
      </c>
      <c r="E9" s="472"/>
      <c r="F9" s="472"/>
      <c r="G9" s="473" t="s">
        <v>288</v>
      </c>
      <c r="H9" s="473"/>
      <c r="I9" s="476">
        <f t="shared" si="1"/>
        <v>0</v>
      </c>
      <c r="J9" s="478"/>
    </row>
    <row r="10" spans="1:13">
      <c r="A10" t="str">
        <f t="shared" si="0"/>
        <v>3290000</v>
      </c>
      <c r="B10">
        <v>24</v>
      </c>
      <c r="D10">
        <v>2</v>
      </c>
      <c r="E10" s="472"/>
      <c r="F10" s="472"/>
      <c r="G10" s="473" t="s">
        <v>289</v>
      </c>
      <c r="H10" s="473">
        <v>22389.705882352941</v>
      </c>
      <c r="I10" s="476">
        <f t="shared" si="1"/>
        <v>0</v>
      </c>
      <c r="J10" s="481">
        <f>H10</f>
        <v>22389.705882352941</v>
      </c>
    </row>
    <row r="11" spans="1:13">
      <c r="A11" t="str">
        <f t="shared" si="0"/>
        <v>State a</v>
      </c>
      <c r="E11" s="472"/>
      <c r="F11" s="472"/>
      <c r="G11" s="479" t="s">
        <v>239</v>
      </c>
      <c r="H11" s="492">
        <f>H5+H7+H10</f>
        <v>3315955.938574506</v>
      </c>
      <c r="I11" s="476"/>
      <c r="J11" s="478"/>
    </row>
    <row r="12" spans="1:13">
      <c r="A12" t="str">
        <f t="shared" si="0"/>
        <v/>
      </c>
      <c r="E12" s="472"/>
      <c r="F12" s="472" t="s">
        <v>240</v>
      </c>
      <c r="G12" s="473"/>
      <c r="H12" s="473"/>
      <c r="I12" s="476"/>
      <c r="J12" s="478"/>
    </row>
    <row r="13" spans="1:13">
      <c r="A13" t="str">
        <f t="shared" si="0"/>
        <v>4515000</v>
      </c>
      <c r="B13">
        <v>41</v>
      </c>
      <c r="D13">
        <v>5</v>
      </c>
      <c r="E13" s="472"/>
      <c r="F13" s="472"/>
      <c r="G13" s="473" t="s">
        <v>290</v>
      </c>
      <c r="H13" s="473"/>
      <c r="I13" s="476">
        <f t="shared" si="1"/>
        <v>0</v>
      </c>
      <c r="J13" s="481">
        <f>H13</f>
        <v>0</v>
      </c>
    </row>
    <row r="14" spans="1:13">
      <c r="A14" t="str">
        <f t="shared" si="0"/>
        <v>4515000</v>
      </c>
      <c r="B14">
        <v>41</v>
      </c>
      <c r="D14">
        <v>5</v>
      </c>
      <c r="E14" s="472"/>
      <c r="F14" s="472"/>
      <c r="G14" s="473" t="s">
        <v>291</v>
      </c>
      <c r="H14" s="473">
        <v>250155.56926413145</v>
      </c>
      <c r="I14" s="476">
        <f t="shared" si="1"/>
        <v>0</v>
      </c>
      <c r="J14" s="481">
        <f t="shared" ref="J14:J26" si="2">H14</f>
        <v>250155.56926413145</v>
      </c>
    </row>
    <row r="15" spans="1:13">
      <c r="A15" t="str">
        <f t="shared" si="0"/>
        <v>4531000</v>
      </c>
      <c r="B15">
        <v>43</v>
      </c>
      <c r="D15">
        <v>5</v>
      </c>
      <c r="E15" s="472"/>
      <c r="F15" s="472"/>
      <c r="G15" s="473" t="s">
        <v>292</v>
      </c>
      <c r="H15" s="473"/>
      <c r="I15" s="476">
        <f t="shared" si="1"/>
        <v>0</v>
      </c>
      <c r="J15" s="481">
        <f t="shared" si="2"/>
        <v>0</v>
      </c>
    </row>
    <row r="16" spans="1:13">
      <c r="A16" t="str">
        <f t="shared" si="0"/>
        <v>4531000</v>
      </c>
      <c r="B16">
        <v>43</v>
      </c>
      <c r="D16">
        <v>5</v>
      </c>
      <c r="E16" s="472"/>
      <c r="F16" s="472"/>
      <c r="G16" s="473" t="s">
        <v>293</v>
      </c>
      <c r="H16" s="473">
        <v>51007</v>
      </c>
      <c r="I16" s="476">
        <f t="shared" si="1"/>
        <v>0</v>
      </c>
      <c r="J16" s="481">
        <f t="shared" si="2"/>
        <v>51007</v>
      </c>
    </row>
    <row r="17" spans="1:17">
      <c r="A17" t="str">
        <f t="shared" si="0"/>
        <v>4532000</v>
      </c>
      <c r="B17">
        <v>44</v>
      </c>
      <c r="D17">
        <v>5</v>
      </c>
      <c r="E17" s="472"/>
      <c r="F17" s="472"/>
      <c r="G17" s="473" t="s">
        <v>294</v>
      </c>
      <c r="H17" s="473"/>
      <c r="I17" s="476">
        <f t="shared" si="1"/>
        <v>0</v>
      </c>
      <c r="J17" s="481">
        <f t="shared" si="2"/>
        <v>0</v>
      </c>
    </row>
    <row r="18" spans="1:17">
      <c r="A18" t="str">
        <f t="shared" si="0"/>
        <v>4532000</v>
      </c>
      <c r="B18">
        <v>44</v>
      </c>
      <c r="D18">
        <v>5</v>
      </c>
      <c r="E18" s="472"/>
      <c r="F18" s="472"/>
      <c r="G18" s="473" t="s">
        <v>295</v>
      </c>
      <c r="H18" s="473">
        <v>3000</v>
      </c>
      <c r="I18" s="476">
        <f t="shared" si="1"/>
        <v>0</v>
      </c>
      <c r="J18" s="481">
        <f t="shared" si="2"/>
        <v>3000</v>
      </c>
    </row>
    <row r="19" spans="1:17">
      <c r="A19" t="str">
        <f t="shared" si="0"/>
        <v>4541000</v>
      </c>
      <c r="B19">
        <v>48</v>
      </c>
      <c r="D19">
        <v>5</v>
      </c>
      <c r="E19" s="472"/>
      <c r="F19" s="472"/>
      <c r="G19" s="473" t="s">
        <v>296</v>
      </c>
      <c r="H19" s="473"/>
      <c r="I19" s="476">
        <f t="shared" si="1"/>
        <v>0</v>
      </c>
      <c r="J19" s="481">
        <f t="shared" si="2"/>
        <v>0</v>
      </c>
    </row>
    <row r="20" spans="1:17">
      <c r="A20" t="str">
        <f t="shared" si="0"/>
        <v>4541000</v>
      </c>
      <c r="B20">
        <v>48</v>
      </c>
      <c r="D20">
        <v>5</v>
      </c>
      <c r="E20" s="472"/>
      <c r="F20" s="472"/>
      <c r="G20" s="473" t="s">
        <v>297</v>
      </c>
      <c r="H20" s="473">
        <v>650000</v>
      </c>
      <c r="I20" s="476">
        <f t="shared" si="1"/>
        <v>0</v>
      </c>
      <c r="J20" s="481">
        <f t="shared" si="2"/>
        <v>650000</v>
      </c>
    </row>
    <row r="21" spans="1:17">
      <c r="A21" t="str">
        <f t="shared" si="0"/>
        <v>4544000</v>
      </c>
      <c r="B21">
        <v>51</v>
      </c>
      <c r="D21">
        <v>5</v>
      </c>
      <c r="E21" s="472"/>
      <c r="F21" s="472"/>
      <c r="G21" s="473" t="s">
        <v>298</v>
      </c>
      <c r="H21" s="473"/>
      <c r="I21" s="476">
        <f t="shared" si="1"/>
        <v>0</v>
      </c>
      <c r="J21" s="481">
        <f t="shared" si="2"/>
        <v>0</v>
      </c>
    </row>
    <row r="22" spans="1:17">
      <c r="A22" t="str">
        <f t="shared" si="0"/>
        <v>4544000</v>
      </c>
      <c r="B22">
        <v>51</v>
      </c>
      <c r="D22">
        <v>5</v>
      </c>
      <c r="E22" s="472"/>
      <c r="F22" s="472"/>
      <c r="G22" s="473" t="s">
        <v>299</v>
      </c>
      <c r="H22" s="473">
        <v>29006</v>
      </c>
      <c r="I22" s="476">
        <f t="shared" si="1"/>
        <v>0</v>
      </c>
      <c r="J22" s="481">
        <f t="shared" si="2"/>
        <v>29006</v>
      </c>
    </row>
    <row r="23" spans="1:17">
      <c r="A23" t="str">
        <f t="shared" si="0"/>
        <v>4545000</v>
      </c>
      <c r="B23">
        <v>52</v>
      </c>
      <c r="D23">
        <v>5</v>
      </c>
      <c r="E23" s="472"/>
      <c r="F23" s="472"/>
      <c r="G23" s="473" t="s">
        <v>300</v>
      </c>
      <c r="H23" s="473"/>
      <c r="I23" s="476">
        <f t="shared" si="1"/>
        <v>0</v>
      </c>
      <c r="J23" s="481">
        <f t="shared" si="2"/>
        <v>0</v>
      </c>
    </row>
    <row r="24" spans="1:17">
      <c r="A24" t="str">
        <f t="shared" si="0"/>
        <v>4545000</v>
      </c>
      <c r="B24">
        <v>52</v>
      </c>
      <c r="D24">
        <v>5</v>
      </c>
      <c r="E24" s="472"/>
      <c r="F24" s="472"/>
      <c r="G24" s="473" t="s">
        <v>301</v>
      </c>
      <c r="H24" s="473">
        <v>16072</v>
      </c>
      <c r="I24" s="476">
        <f t="shared" si="1"/>
        <v>0</v>
      </c>
      <c r="J24" s="481">
        <f t="shared" si="2"/>
        <v>16072</v>
      </c>
    </row>
    <row r="25" spans="1:17">
      <c r="A25" t="str">
        <f t="shared" si="0"/>
        <v>4590000</v>
      </c>
      <c r="B25">
        <v>60</v>
      </c>
      <c r="D25">
        <v>5</v>
      </c>
      <c r="E25" s="472"/>
      <c r="F25" s="472"/>
      <c r="G25" s="473" t="s">
        <v>302</v>
      </c>
      <c r="H25" s="473"/>
      <c r="I25" s="476">
        <f t="shared" si="1"/>
        <v>0</v>
      </c>
      <c r="J25" s="481">
        <f t="shared" si="2"/>
        <v>0</v>
      </c>
    </row>
    <row r="26" spans="1:17">
      <c r="A26" t="str">
        <f t="shared" si="0"/>
        <v>4590000</v>
      </c>
      <c r="B26">
        <v>60</v>
      </c>
      <c r="D26">
        <v>5</v>
      </c>
      <c r="E26" s="472"/>
      <c r="F26" s="472"/>
      <c r="G26" s="473" t="s">
        <v>303</v>
      </c>
      <c r="H26" s="473">
        <v>600000</v>
      </c>
      <c r="I26" s="476">
        <f t="shared" si="1"/>
        <v>0</v>
      </c>
      <c r="J26" s="481">
        <f t="shared" si="2"/>
        <v>600000</v>
      </c>
    </row>
    <row r="27" spans="1:17">
      <c r="A27" t="str">
        <f t="shared" si="0"/>
        <v>Federal</v>
      </c>
      <c r="E27" s="472"/>
      <c r="F27" s="472"/>
      <c r="G27" s="479" t="s">
        <v>241</v>
      </c>
      <c r="H27" s="492">
        <f>SUM(H13:H26)</f>
        <v>1599240.5692641316</v>
      </c>
      <c r="I27" s="476"/>
      <c r="J27" s="478"/>
    </row>
    <row r="28" spans="1:17">
      <c r="A28" t="str">
        <f t="shared" si="0"/>
        <v/>
      </c>
      <c r="E28" s="472"/>
      <c r="F28" s="472" t="s">
        <v>304</v>
      </c>
      <c r="G28" s="473"/>
      <c r="H28" s="473"/>
      <c r="I28" s="476"/>
      <c r="J28" s="478"/>
    </row>
    <row r="29" spans="1:17">
      <c r="A29" t="str">
        <f t="shared" si="0"/>
        <v>1999000</v>
      </c>
      <c r="B29">
        <v>8</v>
      </c>
      <c r="D29">
        <v>1</v>
      </c>
      <c r="E29" s="472"/>
      <c r="F29" s="472"/>
      <c r="G29" s="473" t="s">
        <v>305</v>
      </c>
      <c r="H29" s="473"/>
      <c r="I29" s="476">
        <f t="shared" si="1"/>
        <v>0</v>
      </c>
      <c r="J29" s="478"/>
    </row>
    <row r="30" spans="1:17">
      <c r="A30" t="str">
        <f t="shared" si="0"/>
        <v>1999000</v>
      </c>
      <c r="B30">
        <v>8</v>
      </c>
      <c r="D30">
        <v>1</v>
      </c>
      <c r="E30" s="472"/>
      <c r="F30" s="472"/>
      <c r="G30" s="473" t="s">
        <v>306</v>
      </c>
      <c r="H30" s="473">
        <v>5218</v>
      </c>
      <c r="I30" s="476">
        <f t="shared" si="1"/>
        <v>5218</v>
      </c>
      <c r="J30" s="478"/>
      <c r="M30">
        <v>5218</v>
      </c>
      <c r="O30" s="496"/>
      <c r="P30" s="497"/>
      <c r="Q30" s="497"/>
    </row>
    <row r="31" spans="1:17">
      <c r="A31" t="str">
        <f t="shared" si="0"/>
        <v xml:space="preserve">Earned </v>
      </c>
      <c r="E31" s="472"/>
      <c r="F31" s="472"/>
      <c r="G31" s="479" t="s">
        <v>307</v>
      </c>
      <c r="H31" s="479">
        <f>H30</f>
        <v>5218</v>
      </c>
      <c r="I31" s="476"/>
      <c r="J31" s="478"/>
    </row>
    <row r="32" spans="1:17" ht="16" thickBot="1">
      <c r="A32" t="str">
        <f t="shared" si="0"/>
        <v/>
      </c>
      <c r="E32" s="472"/>
      <c r="F32" s="480" t="s">
        <v>242</v>
      </c>
      <c r="G32" s="479"/>
      <c r="H32" s="492">
        <f>H11+H27+H31</f>
        <v>4920414.5078386376</v>
      </c>
      <c r="I32" s="476"/>
      <c r="J32" s="478"/>
      <c r="K32" s="477">
        <f>SUM(J4:J32)</f>
        <v>1621630.2751464844</v>
      </c>
      <c r="L32" s="490">
        <f>SUM(I4:J32)</f>
        <v>4920414.5078386376</v>
      </c>
      <c r="M32" s="491">
        <v>0.84436669784249185</v>
      </c>
    </row>
    <row r="33" spans="1:10">
      <c r="A33" t="str">
        <f t="shared" si="0"/>
        <v/>
      </c>
      <c r="E33" s="472" t="s">
        <v>243</v>
      </c>
      <c r="F33" s="472"/>
      <c r="G33" s="473"/>
      <c r="H33" s="473"/>
      <c r="I33" s="476">
        <f t="shared" si="1"/>
        <v>0</v>
      </c>
      <c r="J33" s="478"/>
    </row>
    <row r="34" spans="1:10">
      <c r="A34" t="str">
        <f t="shared" si="0"/>
        <v/>
      </c>
      <c r="E34" s="472"/>
      <c r="F34" s="472" t="s">
        <v>244</v>
      </c>
      <c r="G34" s="473"/>
      <c r="H34" s="473"/>
      <c r="I34" s="476">
        <f t="shared" si="1"/>
        <v>0</v>
      </c>
      <c r="J34" s="478"/>
    </row>
    <row r="35" spans="1:10">
      <c r="A35" t="str">
        <f t="shared" si="0"/>
        <v>1111110</v>
      </c>
      <c r="B35">
        <v>81</v>
      </c>
      <c r="C35">
        <v>1110</v>
      </c>
      <c r="D35" s="498" cm="1">
        <f t="array" ref="D35">INDEX('Form A Mapping'!C:C, MATCH(1, (C35 &gt;= 'Form A Mapping'!A:A) * (C35 &lt;= 'Form A Mapping'!B:B), 0))</f>
        <v>7</v>
      </c>
      <c r="E35" s="472"/>
      <c r="F35" s="472"/>
      <c r="G35" s="473" t="s">
        <v>308</v>
      </c>
      <c r="H35" s="473"/>
      <c r="I35" s="476">
        <f t="shared" si="1"/>
        <v>0</v>
      </c>
      <c r="J35" s="478"/>
    </row>
    <row r="36" spans="1:10">
      <c r="A36" t="str">
        <f t="shared" ref="A36:A67" si="3">LEFT(G36, 7)</f>
        <v>1111110</v>
      </c>
      <c r="B36">
        <v>81</v>
      </c>
      <c r="C36">
        <v>1110</v>
      </c>
      <c r="D36" s="498" cm="1">
        <f t="array" ref="D36">INDEX('Form A Mapping'!C:C, MATCH(1, (C36 &gt;= 'Form A Mapping'!A:A) * (C36 &lt;= 'Form A Mapping'!B:B), 0))</f>
        <v>7</v>
      </c>
      <c r="E36" s="472"/>
      <c r="F36" s="472"/>
      <c r="G36" s="473" t="s">
        <v>309</v>
      </c>
      <c r="H36" s="473">
        <v>70936</v>
      </c>
      <c r="I36" s="476">
        <f t="shared" si="1"/>
        <v>70936</v>
      </c>
      <c r="J36" s="478"/>
    </row>
    <row r="37" spans="1:10">
      <c r="A37" t="str">
        <f t="shared" si="3"/>
        <v>1112220</v>
      </c>
      <c r="B37">
        <v>81</v>
      </c>
      <c r="C37">
        <v>2220</v>
      </c>
      <c r="D37" s="498" cm="1">
        <f t="array" ref="D37">INDEX('Form A Mapping'!C:C, MATCH(1, (C37 &gt;= 'Form A Mapping'!A:A) * (C37 &lt;= 'Form A Mapping'!B:B), 0))</f>
        <v>14</v>
      </c>
      <c r="E37" s="472"/>
      <c r="F37" s="472"/>
      <c r="G37" s="473" t="s">
        <v>310</v>
      </c>
      <c r="H37" s="473"/>
      <c r="I37" s="476">
        <f t="shared" si="1"/>
        <v>0</v>
      </c>
      <c r="J37" s="478"/>
    </row>
    <row r="38" spans="1:10">
      <c r="A38" t="str">
        <f t="shared" si="3"/>
        <v>1112220</v>
      </c>
      <c r="B38">
        <v>81</v>
      </c>
      <c r="C38">
        <v>2220</v>
      </c>
      <c r="D38" s="498" cm="1">
        <f t="array" ref="D38">INDEX('Form A Mapping'!C:C, MATCH(1, (C38 &gt;= 'Form A Mapping'!A:A) * (C38 &lt;= 'Form A Mapping'!B:B), 0))</f>
        <v>14</v>
      </c>
      <c r="E38" s="472"/>
      <c r="F38" s="472"/>
      <c r="G38" s="473" t="s">
        <v>311</v>
      </c>
      <c r="H38" s="473">
        <v>55850</v>
      </c>
      <c r="I38" s="476">
        <f t="shared" si="1"/>
        <v>55850</v>
      </c>
      <c r="J38" s="478"/>
    </row>
    <row r="39" spans="1:10">
      <c r="A39" t="str">
        <f t="shared" si="3"/>
        <v>1112400</v>
      </c>
      <c r="B39">
        <v>81</v>
      </c>
      <c r="C39">
        <v>2400</v>
      </c>
      <c r="D39" s="498" cm="1">
        <f t="array" ref="D39">INDEX('Form A Mapping'!C:C, MATCH(1, (C39 &gt;= 'Form A Mapping'!A:A) * (C39 &lt;= 'Form A Mapping'!B:B), 0))</f>
        <v>16</v>
      </c>
      <c r="E39" s="472"/>
      <c r="F39" s="472"/>
      <c r="G39" s="473" t="s">
        <v>312</v>
      </c>
      <c r="H39" s="473"/>
      <c r="I39" s="476">
        <f t="shared" si="1"/>
        <v>0</v>
      </c>
      <c r="J39" s="478"/>
    </row>
    <row r="40" spans="1:10">
      <c r="A40" t="str">
        <f t="shared" si="3"/>
        <v>1112400</v>
      </c>
      <c r="B40">
        <v>81</v>
      </c>
      <c r="C40">
        <v>2400</v>
      </c>
      <c r="D40" s="498" cm="1">
        <f t="array" ref="D40">INDEX('Form A Mapping'!C:C, MATCH(1, (C40 &gt;= 'Form A Mapping'!A:A) * (C40 &lt;= 'Form A Mapping'!B:B), 0))</f>
        <v>16</v>
      </c>
      <c r="E40" s="472"/>
      <c r="F40" s="472"/>
      <c r="G40" s="473" t="s">
        <v>313</v>
      </c>
      <c r="H40" s="473">
        <v>368524.34529999999</v>
      </c>
      <c r="I40" s="476">
        <f t="shared" si="1"/>
        <v>218524.34529999999</v>
      </c>
      <c r="J40" s="478">
        <v>150000</v>
      </c>
    </row>
    <row r="41" spans="1:10">
      <c r="A41" t="str">
        <f t="shared" si="3"/>
        <v>1112410</v>
      </c>
      <c r="B41">
        <v>81</v>
      </c>
      <c r="C41">
        <v>2410</v>
      </c>
      <c r="D41" s="498" cm="1">
        <f t="array" ref="D41">INDEX('Form A Mapping'!C:C, MATCH(1, (C41 &gt;= 'Form A Mapping'!A:A) * (C41 &lt;= 'Form A Mapping'!B:B), 0))</f>
        <v>16</v>
      </c>
      <c r="E41" s="472"/>
      <c r="F41" s="472"/>
      <c r="G41" s="473" t="s">
        <v>314</v>
      </c>
      <c r="H41" s="473"/>
      <c r="I41" s="476">
        <f t="shared" si="1"/>
        <v>0</v>
      </c>
      <c r="J41" s="478"/>
    </row>
    <row r="42" spans="1:10">
      <c r="A42" t="str">
        <f t="shared" si="3"/>
        <v>1112410</v>
      </c>
      <c r="B42">
        <v>81</v>
      </c>
      <c r="C42">
        <v>2410</v>
      </c>
      <c r="D42" s="498" cm="1">
        <f t="array" ref="D42">INDEX('Form A Mapping'!C:C, MATCH(1, (C42 &gt;= 'Form A Mapping'!A:A) * (C42 &lt;= 'Form A Mapping'!B:B), 0))</f>
        <v>16</v>
      </c>
      <c r="E42" s="472"/>
      <c r="F42" s="472"/>
      <c r="G42" s="473" t="s">
        <v>315</v>
      </c>
      <c r="H42" s="473">
        <v>94400</v>
      </c>
      <c r="I42" s="476">
        <f t="shared" si="1"/>
        <v>40000</v>
      </c>
      <c r="J42" s="478">
        <v>54400</v>
      </c>
    </row>
    <row r="43" spans="1:10">
      <c r="A43" t="str">
        <f t="shared" si="3"/>
        <v>1112430</v>
      </c>
      <c r="B43">
        <v>79</v>
      </c>
      <c r="C43">
        <v>2430</v>
      </c>
      <c r="D43" s="498" cm="1">
        <f t="array" ref="D43">INDEX('Form A Mapping'!C:C, MATCH(1, (C43 &gt;= 'Form A Mapping'!A:A) * (C43 &lt;= 'Form A Mapping'!B:B), 0))</f>
        <v>16</v>
      </c>
      <c r="E43" s="472"/>
      <c r="F43" s="472"/>
      <c r="G43" s="473" t="s">
        <v>316</v>
      </c>
      <c r="H43" s="473"/>
      <c r="I43" s="476">
        <f t="shared" si="1"/>
        <v>0</v>
      </c>
      <c r="J43" s="478"/>
    </row>
    <row r="44" spans="1:10">
      <c r="A44" t="str">
        <f t="shared" si="3"/>
        <v>1112430</v>
      </c>
      <c r="B44">
        <v>79</v>
      </c>
      <c r="C44">
        <v>2430</v>
      </c>
      <c r="D44" s="498" cm="1">
        <f t="array" ref="D44">INDEX('Form A Mapping'!C:C, MATCH(1, (C44 &gt;= 'Form A Mapping'!A:A) * (C44 &lt;= 'Form A Mapping'!B:B), 0))</f>
        <v>16</v>
      </c>
      <c r="E44" s="472"/>
      <c r="F44" s="472"/>
      <c r="G44" s="473" t="s">
        <v>317</v>
      </c>
      <c r="H44" s="473">
        <v>90125.041200000007</v>
      </c>
      <c r="I44" s="476">
        <f t="shared" si="1"/>
        <v>90125.041200000007</v>
      </c>
      <c r="J44" s="478"/>
    </row>
    <row r="45" spans="1:10">
      <c r="A45" t="str">
        <f t="shared" si="3"/>
        <v>1112490</v>
      </c>
      <c r="B45">
        <v>81</v>
      </c>
      <c r="C45">
        <v>2490</v>
      </c>
      <c r="D45" s="498" cm="1">
        <f t="array" ref="D45">INDEX('Form A Mapping'!C:C, MATCH(1, (C45 &gt;= 'Form A Mapping'!A:A) * (C45 &lt;= 'Form A Mapping'!B:B), 0))</f>
        <v>16</v>
      </c>
      <c r="E45" s="472"/>
      <c r="F45" s="472"/>
      <c r="G45" s="473" t="s">
        <v>318</v>
      </c>
      <c r="H45" s="473"/>
      <c r="I45" s="476">
        <f t="shared" si="1"/>
        <v>0</v>
      </c>
      <c r="J45" s="478"/>
    </row>
    <row r="46" spans="1:10">
      <c r="A46" t="str">
        <f t="shared" si="3"/>
        <v>1112490</v>
      </c>
      <c r="B46">
        <v>81</v>
      </c>
      <c r="C46">
        <v>2490</v>
      </c>
      <c r="D46" s="498" cm="1">
        <f t="array" ref="D46">INDEX('Form A Mapping'!C:C, MATCH(1, (C46 &gt;= 'Form A Mapping'!A:A) * (C46 &lt;= 'Form A Mapping'!B:B), 0))</f>
        <v>16</v>
      </c>
      <c r="E46" s="472"/>
      <c r="F46" s="472"/>
      <c r="G46" s="473" t="s">
        <v>319</v>
      </c>
      <c r="H46" s="473">
        <v>75000</v>
      </c>
      <c r="I46" s="476">
        <f t="shared" si="1"/>
        <v>0</v>
      </c>
      <c r="J46" s="478">
        <v>75000</v>
      </c>
    </row>
    <row r="47" spans="1:10">
      <c r="A47" t="str">
        <f t="shared" si="3"/>
        <v>1121110</v>
      </c>
      <c r="B47">
        <v>82</v>
      </c>
      <c r="C47">
        <v>1110</v>
      </c>
      <c r="D47" s="498" cm="1">
        <f t="array" ref="D47">INDEX('Form A Mapping'!C:C, MATCH(1, (C47 &gt;= 'Form A Mapping'!A:A) * (C47 &lt;= 'Form A Mapping'!B:B), 0))</f>
        <v>7</v>
      </c>
      <c r="E47" s="472"/>
      <c r="F47" s="472"/>
      <c r="G47" s="473" t="s">
        <v>320</v>
      </c>
      <c r="H47" s="473"/>
      <c r="I47" s="476">
        <f t="shared" si="1"/>
        <v>0</v>
      </c>
      <c r="J47" s="478"/>
    </row>
    <row r="48" spans="1:10">
      <c r="A48" t="str">
        <f t="shared" si="3"/>
        <v>1121110</v>
      </c>
      <c r="B48">
        <v>82</v>
      </c>
      <c r="C48">
        <v>1110</v>
      </c>
      <c r="D48" s="498" cm="1">
        <f t="array" ref="D48">INDEX('Form A Mapping'!C:C, MATCH(1, (C48 &gt;= 'Form A Mapping'!A:A) * (C48 &lt;= 'Form A Mapping'!B:B), 0))</f>
        <v>7</v>
      </c>
      <c r="E48" s="472"/>
      <c r="F48" s="472"/>
      <c r="G48" s="473" t="s">
        <v>321</v>
      </c>
      <c r="H48" s="473">
        <v>1127788</v>
      </c>
      <c r="I48" s="476">
        <f t="shared" si="1"/>
        <v>127788</v>
      </c>
      <c r="J48" s="478">
        <v>1000000</v>
      </c>
    </row>
    <row r="49" spans="1:10">
      <c r="A49" t="str">
        <f t="shared" si="3"/>
        <v>1121210</v>
      </c>
      <c r="B49">
        <v>82</v>
      </c>
      <c r="C49">
        <v>1210</v>
      </c>
      <c r="D49" s="498" cm="1">
        <f t="array" ref="D49">INDEX('Form A Mapping'!C:C, MATCH(1, (C49 &gt;= 'Form A Mapping'!A:A) * (C49 &lt;= 'Form A Mapping'!B:B), 0))</f>
        <v>8</v>
      </c>
      <c r="E49" s="472"/>
      <c r="F49" s="472"/>
      <c r="G49" s="473" t="s">
        <v>322</v>
      </c>
      <c r="H49" s="473"/>
      <c r="I49" s="476">
        <f t="shared" si="1"/>
        <v>0</v>
      </c>
      <c r="J49" s="478"/>
    </row>
    <row r="50" spans="1:10">
      <c r="A50" t="str">
        <f t="shared" si="3"/>
        <v>1121210</v>
      </c>
      <c r="B50">
        <v>82</v>
      </c>
      <c r="C50">
        <v>1210</v>
      </c>
      <c r="D50" s="498" cm="1">
        <f t="array" ref="D50">INDEX('Form A Mapping'!C:C, MATCH(1, (C50 &gt;= 'Form A Mapping'!A:A) * (C50 &lt;= 'Form A Mapping'!B:B), 0))</f>
        <v>8</v>
      </c>
      <c r="E50" s="472"/>
      <c r="F50" s="472"/>
      <c r="G50" s="473" t="s">
        <v>323</v>
      </c>
      <c r="H50" s="473">
        <v>60060</v>
      </c>
      <c r="I50" s="476">
        <f t="shared" si="1"/>
        <v>60060</v>
      </c>
      <c r="J50" s="478"/>
    </row>
    <row r="51" spans="1:10">
      <c r="A51" t="str">
        <f t="shared" si="3"/>
        <v>1121520</v>
      </c>
      <c r="B51">
        <v>82</v>
      </c>
      <c r="C51">
        <v>1520</v>
      </c>
      <c r="D51" s="498" cm="1">
        <f t="array" ref="D51">INDEX('Form A Mapping'!C:C, MATCH(1, (C51 &gt;= 'Form A Mapping'!A:A) * (C51 &lt;= 'Form A Mapping'!B:B), 0))</f>
        <v>11</v>
      </c>
      <c r="E51" s="472"/>
      <c r="F51" s="472"/>
      <c r="G51" s="473" t="s">
        <v>324</v>
      </c>
      <c r="H51" s="473"/>
      <c r="I51" s="476">
        <f t="shared" si="1"/>
        <v>0</v>
      </c>
      <c r="J51" s="478"/>
    </row>
    <row r="52" spans="1:10">
      <c r="A52" t="str">
        <f t="shared" si="3"/>
        <v>1121590</v>
      </c>
      <c r="B52">
        <v>82</v>
      </c>
      <c r="C52">
        <v>1590</v>
      </c>
      <c r="D52" s="498" cm="1">
        <f t="array" ref="D52">INDEX('Form A Mapping'!C:C, MATCH(1, (C52 &gt;= 'Form A Mapping'!A:A) * (C52 &lt;= 'Form A Mapping'!B:B), 0))</f>
        <v>11</v>
      </c>
      <c r="E52" s="472"/>
      <c r="F52" s="472"/>
      <c r="G52" s="473" t="s">
        <v>325</v>
      </c>
      <c r="H52" s="473"/>
      <c r="I52" s="476">
        <f t="shared" si="1"/>
        <v>0</v>
      </c>
      <c r="J52" s="478"/>
    </row>
    <row r="53" spans="1:10">
      <c r="A53" t="str">
        <f t="shared" si="3"/>
        <v>1132122</v>
      </c>
      <c r="B53">
        <v>83</v>
      </c>
      <c r="C53">
        <v>2122</v>
      </c>
      <c r="D53" s="498" cm="1">
        <f t="array" ref="D53">INDEX('Form A Mapping'!C:C, MATCH(1, (C53 &gt;= 'Form A Mapping'!A:A) * (C53 &lt;= 'Form A Mapping'!B:B), 0))</f>
        <v>13</v>
      </c>
      <c r="E53" s="472"/>
      <c r="F53" s="472"/>
      <c r="G53" s="473" t="s">
        <v>326</v>
      </c>
      <c r="H53" s="473"/>
      <c r="I53" s="476">
        <f t="shared" si="1"/>
        <v>0</v>
      </c>
      <c r="J53" s="478"/>
    </row>
    <row r="54" spans="1:10">
      <c r="A54" t="str">
        <f t="shared" si="3"/>
        <v>1132122</v>
      </c>
      <c r="B54">
        <v>83</v>
      </c>
      <c r="C54">
        <v>2122</v>
      </c>
      <c r="D54" s="498" cm="1">
        <f t="array" ref="D54">INDEX('Form A Mapping'!C:C, MATCH(1, (C54 &gt;= 'Form A Mapping'!A:A) * (C54 &lt;= 'Form A Mapping'!B:B), 0))</f>
        <v>13</v>
      </c>
      <c r="E54" s="472"/>
      <c r="F54" s="472"/>
      <c r="G54" s="473" t="s">
        <v>327</v>
      </c>
      <c r="H54" s="473">
        <v>57936</v>
      </c>
      <c r="I54" s="476">
        <f t="shared" si="1"/>
        <v>0</v>
      </c>
      <c r="J54" s="478">
        <v>57936</v>
      </c>
    </row>
    <row r="55" spans="1:10">
      <c r="A55" t="str">
        <f t="shared" si="3"/>
        <v>1142400</v>
      </c>
      <c r="B55">
        <v>84</v>
      </c>
      <c r="C55">
        <v>2400</v>
      </c>
      <c r="D55" s="498" cm="1">
        <f t="array" ref="D55">INDEX('Form A Mapping'!C:C, MATCH(1, (C55 &gt;= 'Form A Mapping'!A:A) * (C55 &lt;= 'Form A Mapping'!B:B), 0))</f>
        <v>16</v>
      </c>
      <c r="E55" s="472"/>
      <c r="F55" s="472"/>
      <c r="G55" s="473" t="s">
        <v>328</v>
      </c>
      <c r="H55" s="473"/>
      <c r="I55" s="476">
        <f t="shared" si="1"/>
        <v>0</v>
      </c>
      <c r="J55" s="478"/>
    </row>
    <row r="56" spans="1:10">
      <c r="A56" t="str">
        <f t="shared" si="3"/>
        <v>1142400</v>
      </c>
      <c r="B56">
        <v>84</v>
      </c>
      <c r="C56">
        <v>2400</v>
      </c>
      <c r="D56" s="498" cm="1">
        <f t="array" ref="D56">INDEX('Form A Mapping'!C:C, MATCH(1, (C56 &gt;= 'Form A Mapping'!A:A) * (C56 &lt;= 'Form A Mapping'!B:B), 0))</f>
        <v>16</v>
      </c>
      <c r="E56" s="472"/>
      <c r="F56" s="472"/>
      <c r="G56" s="473" t="s">
        <v>329</v>
      </c>
      <c r="H56" s="473">
        <v>81800</v>
      </c>
      <c r="I56" s="476">
        <f t="shared" si="1"/>
        <v>81800</v>
      </c>
      <c r="J56" s="478"/>
    </row>
    <row r="57" spans="1:10">
      <c r="A57" t="str">
        <f t="shared" si="3"/>
        <v>1151100</v>
      </c>
      <c r="B57">
        <v>86</v>
      </c>
      <c r="C57">
        <v>1100</v>
      </c>
      <c r="D57" s="498" cm="1">
        <f t="array" ref="D57">INDEX('Form A Mapping'!C:C, MATCH(1, (C57 &gt;= 'Form A Mapping'!A:A) * (C57 &lt;= 'Form A Mapping'!B:B), 0))</f>
        <v>7</v>
      </c>
      <c r="E57" s="472"/>
      <c r="F57" s="472"/>
      <c r="G57" s="473" t="s">
        <v>330</v>
      </c>
      <c r="H57" s="473">
        <v>53136</v>
      </c>
      <c r="I57" s="476">
        <f t="shared" si="1"/>
        <v>53136</v>
      </c>
      <c r="J57" s="478"/>
    </row>
    <row r="58" spans="1:10">
      <c r="A58" t="str">
        <f t="shared" si="3"/>
        <v>1151210</v>
      </c>
      <c r="B58">
        <v>86</v>
      </c>
      <c r="C58">
        <v>1210</v>
      </c>
      <c r="D58" s="498" cm="1">
        <f t="array" ref="D58">INDEX('Form A Mapping'!C:C, MATCH(1, (C58 &gt;= 'Form A Mapping'!A:A) * (C58 &lt;= 'Form A Mapping'!B:B), 0))</f>
        <v>8</v>
      </c>
      <c r="E58" s="472"/>
      <c r="F58" s="472"/>
      <c r="G58" s="473" t="s">
        <v>331</v>
      </c>
      <c r="H58" s="473"/>
      <c r="I58" s="476">
        <f t="shared" si="1"/>
        <v>0</v>
      </c>
      <c r="J58" s="478"/>
    </row>
    <row r="59" spans="1:10">
      <c r="A59" t="str">
        <f t="shared" si="3"/>
        <v>1151210</v>
      </c>
      <c r="B59">
        <v>86</v>
      </c>
      <c r="C59">
        <v>1210</v>
      </c>
      <c r="D59" s="498" cm="1">
        <f t="array" ref="D59">INDEX('Form A Mapping'!C:C, MATCH(1, (C59 &gt;= 'Form A Mapping'!A:A) * (C59 &lt;= 'Form A Mapping'!B:B), 0))</f>
        <v>8</v>
      </c>
      <c r="E59" s="472"/>
      <c r="F59" s="472"/>
      <c r="G59" s="473" t="s">
        <v>332</v>
      </c>
      <c r="H59" s="473">
        <v>81400</v>
      </c>
      <c r="I59" s="476">
        <f t="shared" si="1"/>
        <v>81400</v>
      </c>
      <c r="J59" s="478"/>
    </row>
    <row r="60" spans="1:10">
      <c r="A60" t="str">
        <f t="shared" si="3"/>
        <v>1162620</v>
      </c>
      <c r="B60">
        <v>85</v>
      </c>
      <c r="C60">
        <v>2620</v>
      </c>
      <c r="D60" s="498" cm="1">
        <f t="array" ref="D60">INDEX('Form A Mapping'!C:C, MATCH(1, (C60 &gt;= 'Form A Mapping'!A:A) * (C60 &lt;= 'Form A Mapping'!B:B), 0))</f>
        <v>18</v>
      </c>
      <c r="E60" s="472"/>
      <c r="F60" s="472"/>
      <c r="G60" s="473" t="s">
        <v>333</v>
      </c>
      <c r="H60" s="473">
        <v>118300</v>
      </c>
      <c r="I60" s="476">
        <f t="shared" si="1"/>
        <v>118300</v>
      </c>
      <c r="J60" s="478"/>
    </row>
    <row r="61" spans="1:10">
      <c r="A61" t="str">
        <f t="shared" si="3"/>
        <v>1162620</v>
      </c>
      <c r="B61">
        <v>85</v>
      </c>
      <c r="C61">
        <v>2620</v>
      </c>
      <c r="D61" s="498" cm="1">
        <f t="array" ref="D61">INDEX('Form A Mapping'!C:C, MATCH(1, (C61 &gt;= 'Form A Mapping'!A:A) * (C61 &lt;= 'Form A Mapping'!B:B), 0))</f>
        <v>18</v>
      </c>
      <c r="E61" s="472"/>
      <c r="F61" s="472"/>
      <c r="G61" s="473" t="s">
        <v>334</v>
      </c>
      <c r="H61" s="473"/>
      <c r="I61" s="476">
        <f t="shared" si="1"/>
        <v>0</v>
      </c>
      <c r="J61" s="478"/>
    </row>
    <row r="62" spans="1:10">
      <c r="A62" t="str">
        <f t="shared" si="3"/>
        <v>1501100</v>
      </c>
      <c r="B62">
        <v>86</v>
      </c>
      <c r="C62">
        <v>1100</v>
      </c>
      <c r="D62" s="498" cm="1">
        <f t="array" ref="D62">INDEX('Form A Mapping'!C:C, MATCH(1, (C62 &gt;= 'Form A Mapping'!A:A) * (C62 &lt;= 'Form A Mapping'!B:B), 0))</f>
        <v>7</v>
      </c>
      <c r="E62" s="472"/>
      <c r="F62" s="472"/>
      <c r="G62" s="473" t="s">
        <v>335</v>
      </c>
      <c r="H62" s="473"/>
      <c r="I62" s="476">
        <f t="shared" si="1"/>
        <v>0</v>
      </c>
      <c r="J62" s="478"/>
    </row>
    <row r="63" spans="1:10">
      <c r="A63" t="str">
        <f t="shared" si="3"/>
        <v>1502590</v>
      </c>
      <c r="B63">
        <v>86</v>
      </c>
      <c r="C63">
        <v>2590</v>
      </c>
      <c r="D63" s="498" cm="1">
        <f t="array" ref="D63">INDEX('Form A Mapping'!C:C, MATCH(1, (C63 &gt;= 'Form A Mapping'!A:A) * (C63 &lt;= 'Form A Mapping'!B:B), 0))</f>
        <v>17</v>
      </c>
      <c r="E63" s="472"/>
      <c r="F63" s="472"/>
      <c r="G63" s="473" t="s">
        <v>336</v>
      </c>
      <c r="H63" s="473"/>
      <c r="I63" s="476">
        <f t="shared" si="1"/>
        <v>0</v>
      </c>
      <c r="J63" s="478"/>
    </row>
    <row r="64" spans="1:10">
      <c r="A64" t="str">
        <f t="shared" si="3"/>
        <v>Salarie</v>
      </c>
      <c r="E64" s="472"/>
      <c r="F64" s="472"/>
      <c r="G64" s="479" t="s">
        <v>245</v>
      </c>
      <c r="H64" s="603">
        <f>SUM(H35:H63)</f>
        <v>2335255.3865</v>
      </c>
      <c r="I64" s="476"/>
      <c r="J64" s="478"/>
    </row>
    <row r="65" spans="1:10">
      <c r="A65" t="str">
        <f t="shared" si="3"/>
        <v/>
      </c>
      <c r="E65" s="472"/>
      <c r="F65" s="472" t="s">
        <v>246</v>
      </c>
      <c r="G65" s="473"/>
      <c r="H65" s="473"/>
      <c r="I65" s="476"/>
      <c r="J65" s="478"/>
    </row>
    <row r="66" spans="1:10">
      <c r="A66" t="str">
        <f t="shared" si="3"/>
        <v>2102400</v>
      </c>
      <c r="B66">
        <v>89</v>
      </c>
      <c r="C66">
        <v>2400</v>
      </c>
      <c r="E66" s="472"/>
      <c r="F66" s="472"/>
      <c r="G66" s="473" t="s">
        <v>337</v>
      </c>
      <c r="H66" s="473"/>
      <c r="I66" s="476">
        <f t="shared" si="1"/>
        <v>0</v>
      </c>
      <c r="J66" s="478"/>
    </row>
    <row r="67" spans="1:10">
      <c r="A67" t="str">
        <f t="shared" si="3"/>
        <v>2102400</v>
      </c>
      <c r="B67">
        <v>89</v>
      </c>
      <c r="C67">
        <v>2400</v>
      </c>
      <c r="E67" s="472"/>
      <c r="F67" s="472"/>
      <c r="G67" s="473" t="s">
        <v>338</v>
      </c>
      <c r="H67" s="473">
        <v>221685.09375</v>
      </c>
      <c r="I67" s="476">
        <f t="shared" si="1"/>
        <v>221685.09375</v>
      </c>
      <c r="J67" s="478"/>
    </row>
    <row r="68" spans="1:10">
      <c r="A68" t="str">
        <f t="shared" ref="A68:A99" si="4">LEFT(G68, 7)</f>
        <v>2201100</v>
      </c>
      <c r="B68">
        <v>90</v>
      </c>
      <c r="C68">
        <v>1100</v>
      </c>
      <c r="E68" s="472"/>
      <c r="F68" s="472"/>
      <c r="G68" s="473" t="s">
        <v>339</v>
      </c>
      <c r="H68" s="473"/>
      <c r="I68" s="476">
        <f t="shared" si="1"/>
        <v>0</v>
      </c>
      <c r="J68" s="478"/>
    </row>
    <row r="69" spans="1:10">
      <c r="A69" t="str">
        <f t="shared" si="4"/>
        <v>2201100</v>
      </c>
      <c r="B69">
        <v>90</v>
      </c>
      <c r="C69">
        <v>1100</v>
      </c>
      <c r="E69" s="472"/>
      <c r="F69" s="472"/>
      <c r="G69" s="473" t="s">
        <v>340</v>
      </c>
      <c r="H69" s="473">
        <v>144785.83396300001</v>
      </c>
      <c r="I69" s="476">
        <f t="shared" ref="I69:I132" si="5">H69-J69</f>
        <v>144785.83396300001</v>
      </c>
      <c r="J69" s="478"/>
    </row>
    <row r="70" spans="1:10">
      <c r="A70" t="str">
        <f t="shared" si="4"/>
        <v>2251100</v>
      </c>
      <c r="B70">
        <v>91</v>
      </c>
      <c r="C70">
        <v>1100</v>
      </c>
      <c r="E70" s="472"/>
      <c r="F70" s="472"/>
      <c r="G70" s="473" t="s">
        <v>341</v>
      </c>
      <c r="H70" s="473"/>
      <c r="I70" s="476">
        <f t="shared" si="5"/>
        <v>0</v>
      </c>
      <c r="J70" s="478"/>
    </row>
    <row r="71" spans="1:10">
      <c r="A71" t="str">
        <f t="shared" si="4"/>
        <v>2251100</v>
      </c>
      <c r="B71">
        <v>91</v>
      </c>
      <c r="C71">
        <v>1100</v>
      </c>
      <c r="E71" s="472"/>
      <c r="F71" s="472"/>
      <c r="G71" s="473" t="s">
        <v>342</v>
      </c>
      <c r="H71" s="473">
        <v>33861.203104249995</v>
      </c>
      <c r="I71" s="476">
        <f t="shared" si="5"/>
        <v>33861.203104249995</v>
      </c>
      <c r="J71" s="478"/>
    </row>
    <row r="72" spans="1:10">
      <c r="A72" t="str">
        <f t="shared" si="4"/>
        <v>2391100</v>
      </c>
      <c r="B72">
        <v>92</v>
      </c>
      <c r="C72">
        <v>1100</v>
      </c>
      <c r="E72" s="472"/>
      <c r="F72" s="472"/>
      <c r="G72" s="473" t="s">
        <v>343</v>
      </c>
      <c r="H72" s="473"/>
      <c r="I72" s="476">
        <f t="shared" si="5"/>
        <v>0</v>
      </c>
      <c r="J72" s="478"/>
    </row>
    <row r="73" spans="1:10">
      <c r="A73" t="str">
        <f t="shared" si="4"/>
        <v>2391100</v>
      </c>
      <c r="B73">
        <v>92</v>
      </c>
      <c r="C73">
        <v>1100</v>
      </c>
      <c r="E73" s="472"/>
      <c r="F73" s="472"/>
      <c r="G73" s="473" t="s">
        <v>344</v>
      </c>
      <c r="H73" s="473">
        <v>46705.107730000003</v>
      </c>
      <c r="I73" s="476">
        <f t="shared" si="5"/>
        <v>46705.107730000003</v>
      </c>
      <c r="J73" s="478"/>
    </row>
    <row r="74" spans="1:10">
      <c r="A74" t="str">
        <f t="shared" si="4"/>
        <v>2501100</v>
      </c>
      <c r="B74">
        <v>93</v>
      </c>
      <c r="C74">
        <v>1100</v>
      </c>
      <c r="E74" s="472"/>
      <c r="F74" s="472"/>
      <c r="G74" s="473" t="s">
        <v>345</v>
      </c>
      <c r="H74" s="473"/>
      <c r="I74" s="476">
        <f t="shared" si="5"/>
        <v>0</v>
      </c>
      <c r="J74" s="478"/>
    </row>
    <row r="75" spans="1:10">
      <c r="A75" t="str">
        <f t="shared" si="4"/>
        <v>2501100</v>
      </c>
      <c r="B75">
        <v>93</v>
      </c>
      <c r="C75">
        <v>1100</v>
      </c>
      <c r="E75" s="472"/>
      <c r="F75" s="472"/>
      <c r="G75" s="473" t="s">
        <v>346</v>
      </c>
      <c r="H75" s="473">
        <v>23352.553865000002</v>
      </c>
      <c r="I75" s="476">
        <f t="shared" si="5"/>
        <v>23352.553865000002</v>
      </c>
      <c r="J75" s="478"/>
    </row>
    <row r="76" spans="1:10">
      <c r="A76" t="str">
        <f t="shared" si="4"/>
        <v>2601100</v>
      </c>
      <c r="B76">
        <v>95</v>
      </c>
      <c r="C76">
        <v>1100</v>
      </c>
      <c r="E76" s="472"/>
      <c r="F76" s="472"/>
      <c r="G76" s="473" t="s">
        <v>347</v>
      </c>
      <c r="H76" s="473"/>
      <c r="I76" s="476">
        <f t="shared" si="5"/>
        <v>0</v>
      </c>
      <c r="J76" s="478"/>
    </row>
    <row r="77" spans="1:10">
      <c r="A77" t="str">
        <f t="shared" si="4"/>
        <v>2601100</v>
      </c>
      <c r="B77">
        <v>95</v>
      </c>
      <c r="C77">
        <v>1100</v>
      </c>
      <c r="E77" s="472"/>
      <c r="F77" s="472"/>
      <c r="G77" s="473" t="s">
        <v>348</v>
      </c>
      <c r="H77" s="473">
        <v>23352.553865000002</v>
      </c>
      <c r="I77" s="476">
        <f t="shared" si="5"/>
        <v>23352.553865000002</v>
      </c>
      <c r="J77" s="478"/>
    </row>
    <row r="78" spans="1:10">
      <c r="A78" t="str">
        <f t="shared" si="4"/>
        <v>2901100</v>
      </c>
      <c r="B78">
        <v>95</v>
      </c>
      <c r="C78">
        <v>1100</v>
      </c>
      <c r="E78" s="472"/>
      <c r="F78" s="472"/>
      <c r="G78" s="473" t="s">
        <v>349</v>
      </c>
      <c r="H78" s="473"/>
      <c r="I78" s="476">
        <f t="shared" si="5"/>
        <v>0</v>
      </c>
      <c r="J78" s="478"/>
    </row>
    <row r="79" spans="1:10">
      <c r="A79" t="str">
        <f t="shared" si="4"/>
        <v>2901100</v>
      </c>
      <c r="B79">
        <v>95</v>
      </c>
      <c r="C79">
        <v>1100</v>
      </c>
      <c r="E79" s="472"/>
      <c r="F79" s="472"/>
      <c r="G79" s="473" t="s">
        <v>350</v>
      </c>
      <c r="H79" s="473">
        <v>30576</v>
      </c>
      <c r="I79" s="476">
        <f t="shared" si="5"/>
        <v>30576</v>
      </c>
      <c r="J79" s="478"/>
    </row>
    <row r="80" spans="1:10">
      <c r="A80" t="str">
        <f t="shared" si="4"/>
        <v>Benefit</v>
      </c>
      <c r="E80" s="472"/>
      <c r="F80" s="472"/>
      <c r="G80" s="479" t="s">
        <v>247</v>
      </c>
      <c r="H80" s="603">
        <f>SUM(H66:H79)</f>
        <v>524318.34627724998</v>
      </c>
      <c r="I80" s="476"/>
      <c r="J80" s="478"/>
    </row>
    <row r="81" spans="1:10">
      <c r="A81" t="str">
        <f t="shared" si="4"/>
        <v/>
      </c>
      <c r="E81" s="472"/>
      <c r="F81" s="472" t="s">
        <v>248</v>
      </c>
      <c r="G81" s="473"/>
      <c r="H81" s="473"/>
      <c r="I81" s="476"/>
      <c r="J81" s="478"/>
    </row>
    <row r="82" spans="1:10">
      <c r="A82" t="str">
        <f t="shared" si="4"/>
        <v>3001210</v>
      </c>
      <c r="B82">
        <v>101</v>
      </c>
      <c r="C82">
        <v>1210</v>
      </c>
      <c r="D82" s="498" cm="1">
        <f t="array" ref="D82">INDEX('Form A Mapping'!C:C, MATCH(1, (C82 &gt;= 'Form A Mapping'!A:A) * (C82 &lt;= 'Form A Mapping'!B:B), 0))</f>
        <v>8</v>
      </c>
      <c r="E82" s="472"/>
      <c r="F82" s="472"/>
      <c r="G82" s="473" t="s">
        <v>351</v>
      </c>
      <c r="H82" s="473"/>
      <c r="I82" s="476">
        <f t="shared" si="5"/>
        <v>0</v>
      </c>
      <c r="J82" s="478"/>
    </row>
    <row r="83" spans="1:10">
      <c r="A83" t="str">
        <f t="shared" si="4"/>
        <v>3001210</v>
      </c>
      <c r="B83">
        <v>101</v>
      </c>
      <c r="C83">
        <v>1210</v>
      </c>
      <c r="D83" s="498" cm="1">
        <f t="array" ref="D83">INDEX('Form A Mapping'!C:C, MATCH(1, (C83 &gt;= 'Form A Mapping'!A:A) * (C83 &lt;= 'Form A Mapping'!B:B), 0))</f>
        <v>8</v>
      </c>
      <c r="E83" s="472"/>
      <c r="F83" s="472"/>
      <c r="G83" s="473" t="s">
        <v>352</v>
      </c>
      <c r="H83" s="473">
        <v>36250</v>
      </c>
      <c r="I83" s="476">
        <f t="shared" si="5"/>
        <v>36250</v>
      </c>
      <c r="J83" s="478"/>
    </row>
    <row r="84" spans="1:10">
      <c r="A84" t="str">
        <f t="shared" si="4"/>
        <v>3002140</v>
      </c>
      <c r="B84">
        <v>101</v>
      </c>
      <c r="C84">
        <v>2140</v>
      </c>
      <c r="D84" s="498" cm="1">
        <f t="array" ref="D84">INDEX('Form A Mapping'!C:C, MATCH(1, (C84 &gt;= 'Form A Mapping'!A:A) * (C84 &lt;= 'Form A Mapping'!B:B), 0))</f>
        <v>13</v>
      </c>
      <c r="E84" s="472"/>
      <c r="F84" s="472"/>
      <c r="G84" s="473" t="s">
        <v>353</v>
      </c>
      <c r="H84" s="473"/>
      <c r="I84" s="476">
        <f t="shared" si="5"/>
        <v>0</v>
      </c>
      <c r="J84" s="478"/>
    </row>
    <row r="85" spans="1:10">
      <c r="A85" t="str">
        <f t="shared" si="4"/>
        <v>3002140</v>
      </c>
      <c r="B85">
        <v>101</v>
      </c>
      <c r="C85">
        <v>2140</v>
      </c>
      <c r="D85" s="498" cm="1">
        <f t="array" ref="D85">INDEX('Form A Mapping'!C:C, MATCH(1, (C85 &gt;= 'Form A Mapping'!A:A) * (C85 &lt;= 'Form A Mapping'!B:B), 0))</f>
        <v>13</v>
      </c>
      <c r="E85" s="472"/>
      <c r="F85" s="472"/>
      <c r="G85" s="473" t="s">
        <v>354</v>
      </c>
      <c r="H85" s="473">
        <v>28750</v>
      </c>
      <c r="I85" s="476">
        <f t="shared" si="5"/>
        <v>28750</v>
      </c>
      <c r="J85" s="478"/>
    </row>
    <row r="86" spans="1:10">
      <c r="A86" t="str">
        <f t="shared" si="4"/>
        <v>3002150</v>
      </c>
      <c r="B86">
        <v>101</v>
      </c>
      <c r="C86">
        <v>2150</v>
      </c>
      <c r="D86" s="498" cm="1">
        <f t="array" ref="D86">INDEX('Form A Mapping'!C:C, MATCH(1, (C86 &gt;= 'Form A Mapping'!A:A) * (C86 &lt;= 'Form A Mapping'!B:B), 0))</f>
        <v>13</v>
      </c>
      <c r="E86" s="472"/>
      <c r="F86" s="472"/>
      <c r="G86" s="473" t="s">
        <v>355</v>
      </c>
      <c r="H86" s="473"/>
      <c r="I86" s="476">
        <f t="shared" si="5"/>
        <v>0</v>
      </c>
      <c r="J86" s="478"/>
    </row>
    <row r="87" spans="1:10">
      <c r="A87" t="str">
        <f t="shared" si="4"/>
        <v>3002150</v>
      </c>
      <c r="B87">
        <v>101</v>
      </c>
      <c r="C87">
        <v>2150</v>
      </c>
      <c r="D87" s="498" cm="1">
        <f t="array" ref="D87">INDEX('Form A Mapping'!C:C, MATCH(1, (C87 &gt;= 'Form A Mapping'!A:A) * (C87 &lt;= 'Form A Mapping'!B:B), 0))</f>
        <v>13</v>
      </c>
      <c r="E87" s="472"/>
      <c r="F87" s="472"/>
      <c r="G87" s="473" t="s">
        <v>356</v>
      </c>
      <c r="H87" s="473">
        <v>33750</v>
      </c>
      <c r="I87" s="476">
        <f t="shared" si="5"/>
        <v>33750</v>
      </c>
      <c r="J87" s="478"/>
    </row>
    <row r="88" spans="1:10">
      <c r="A88" t="str">
        <f t="shared" si="4"/>
        <v>3002160</v>
      </c>
      <c r="B88">
        <v>101</v>
      </c>
      <c r="C88">
        <v>2160</v>
      </c>
      <c r="D88" s="498" cm="1">
        <f t="array" ref="D88">INDEX('Form A Mapping'!C:C, MATCH(1, (C88 &gt;= 'Form A Mapping'!A:A) * (C88 &lt;= 'Form A Mapping'!B:B), 0))</f>
        <v>13</v>
      </c>
      <c r="E88" s="472"/>
      <c r="F88" s="472"/>
      <c r="G88" s="473" t="s">
        <v>357</v>
      </c>
      <c r="H88" s="473"/>
      <c r="I88" s="476">
        <f t="shared" si="5"/>
        <v>0</v>
      </c>
      <c r="J88" s="478"/>
    </row>
    <row r="89" spans="1:10">
      <c r="A89" t="str">
        <f t="shared" si="4"/>
        <v>3002160</v>
      </c>
      <c r="B89">
        <v>101</v>
      </c>
      <c r="C89">
        <v>2160</v>
      </c>
      <c r="D89" s="498" cm="1">
        <f t="array" ref="D89">INDEX('Form A Mapping'!C:C, MATCH(1, (C89 &gt;= 'Form A Mapping'!A:A) * (C89 &lt;= 'Form A Mapping'!B:B), 0))</f>
        <v>13</v>
      </c>
      <c r="E89" s="472"/>
      <c r="F89" s="472"/>
      <c r="G89" s="473" t="s">
        <v>358</v>
      </c>
      <c r="H89" s="473">
        <v>24750</v>
      </c>
      <c r="I89" s="476">
        <f t="shared" si="5"/>
        <v>24750</v>
      </c>
      <c r="J89" s="478"/>
    </row>
    <row r="90" spans="1:10">
      <c r="A90" t="str">
        <f t="shared" si="4"/>
        <v>3002231</v>
      </c>
      <c r="B90">
        <v>101</v>
      </c>
      <c r="C90">
        <v>2231</v>
      </c>
      <c r="D90" s="498" cm="1">
        <f t="array" ref="D90">INDEX('Form A Mapping'!C:C, MATCH(1, (C90 &gt;= 'Form A Mapping'!A:A) * (C90 &lt;= 'Form A Mapping'!B:B), 0))</f>
        <v>14</v>
      </c>
      <c r="E90" s="472"/>
      <c r="F90" s="472"/>
      <c r="G90" s="473" t="s">
        <v>359</v>
      </c>
      <c r="H90" s="473"/>
      <c r="I90" s="476">
        <f t="shared" si="5"/>
        <v>0</v>
      </c>
      <c r="J90" s="478"/>
    </row>
    <row r="91" spans="1:10">
      <c r="A91" t="str">
        <f t="shared" si="4"/>
        <v>3002231</v>
      </c>
      <c r="B91">
        <v>101</v>
      </c>
      <c r="C91">
        <v>2231</v>
      </c>
      <c r="D91" s="498" cm="1">
        <f t="array" ref="D91">INDEX('Form A Mapping'!C:C, MATCH(1, (C91 &gt;= 'Form A Mapping'!A:A) * (C91 &lt;= 'Form A Mapping'!B:B), 0))</f>
        <v>14</v>
      </c>
      <c r="E91" s="472"/>
      <c r="F91" s="472"/>
      <c r="G91" s="473" t="s">
        <v>360</v>
      </c>
      <c r="H91" s="473">
        <v>155000</v>
      </c>
      <c r="I91" s="476">
        <f t="shared" si="5"/>
        <v>138206</v>
      </c>
      <c r="J91" s="478">
        <v>16794</v>
      </c>
    </row>
    <row r="92" spans="1:10">
      <c r="A92" t="str">
        <f t="shared" si="4"/>
        <v>3002232</v>
      </c>
      <c r="B92">
        <v>101</v>
      </c>
      <c r="C92">
        <v>2232</v>
      </c>
      <c r="D92" s="498" cm="1">
        <f t="array" ref="D92">INDEX('Form A Mapping'!C:C, MATCH(1, (C92 &gt;= 'Form A Mapping'!A:A) * (C92 &lt;= 'Form A Mapping'!B:B), 0))</f>
        <v>14</v>
      </c>
      <c r="E92" s="472"/>
      <c r="F92" s="472"/>
      <c r="G92" s="473" t="s">
        <v>361</v>
      </c>
      <c r="H92" s="473"/>
      <c r="I92" s="476">
        <f t="shared" si="5"/>
        <v>0</v>
      </c>
      <c r="J92" s="478"/>
    </row>
    <row r="93" spans="1:10">
      <c r="A93" t="str">
        <f t="shared" si="4"/>
        <v>3002232</v>
      </c>
      <c r="B93">
        <v>101</v>
      </c>
      <c r="C93">
        <v>2232</v>
      </c>
      <c r="D93" s="498" cm="1">
        <f t="array" ref="D93">INDEX('Form A Mapping'!C:C, MATCH(1, (C93 &gt;= 'Form A Mapping'!A:A) * (C93 &lt;= 'Form A Mapping'!B:B), 0))</f>
        <v>14</v>
      </c>
      <c r="E93" s="472"/>
      <c r="F93" s="472"/>
      <c r="G93" s="473" t="s">
        <v>362</v>
      </c>
      <c r="H93" s="473">
        <v>74632</v>
      </c>
      <c r="I93" s="476">
        <f t="shared" si="5"/>
        <v>74632</v>
      </c>
      <c r="J93" s="478"/>
    </row>
    <row r="94" spans="1:10">
      <c r="A94" t="str">
        <f t="shared" si="4"/>
        <v>3002400</v>
      </c>
      <c r="B94">
        <v>101</v>
      </c>
      <c r="C94">
        <v>2400</v>
      </c>
      <c r="D94" s="498" cm="1">
        <f t="array" ref="D94">INDEX('Form A Mapping'!C:C, MATCH(1, (C94 &gt;= 'Form A Mapping'!A:A) * (C94 &lt;= 'Form A Mapping'!B:B), 0))</f>
        <v>16</v>
      </c>
      <c r="E94" s="472"/>
      <c r="F94" s="472"/>
      <c r="G94" s="473" t="s">
        <v>363</v>
      </c>
      <c r="H94" s="473"/>
      <c r="I94" s="476">
        <f t="shared" si="5"/>
        <v>0</v>
      </c>
      <c r="J94" s="478"/>
    </row>
    <row r="95" spans="1:10">
      <c r="A95" t="str">
        <f t="shared" si="4"/>
        <v>3002400</v>
      </c>
      <c r="B95">
        <v>101</v>
      </c>
      <c r="C95">
        <v>2400</v>
      </c>
      <c r="D95" s="498" cm="1">
        <f t="array" ref="D95">INDEX('Form A Mapping'!C:C, MATCH(1, (C95 &gt;= 'Form A Mapping'!A:A) * (C95 &lt;= 'Form A Mapping'!B:B), 0))</f>
        <v>16</v>
      </c>
      <c r="E95" s="472"/>
      <c r="F95" s="472"/>
      <c r="G95" s="473" t="s">
        <v>364</v>
      </c>
      <c r="H95" s="473">
        <v>99000</v>
      </c>
      <c r="I95" s="476">
        <f t="shared" si="5"/>
        <v>99000</v>
      </c>
      <c r="J95" s="478"/>
    </row>
    <row r="96" spans="1:10">
      <c r="A96" t="str">
        <f t="shared" si="4"/>
        <v>3002510</v>
      </c>
      <c r="B96">
        <v>101</v>
      </c>
      <c r="C96">
        <v>2510</v>
      </c>
      <c r="D96" s="498" cm="1">
        <f t="array" ref="D96">INDEX('Form A Mapping'!C:C, MATCH(1, (C96 &gt;= 'Form A Mapping'!A:A) * (C96 &lt;= 'Form A Mapping'!B:B), 0))</f>
        <v>17</v>
      </c>
      <c r="E96" s="472"/>
      <c r="F96" s="472"/>
      <c r="G96" s="473" t="s">
        <v>365</v>
      </c>
      <c r="H96" s="473"/>
      <c r="I96" s="476">
        <f t="shared" si="5"/>
        <v>0</v>
      </c>
      <c r="J96" s="478"/>
    </row>
    <row r="97" spans="1:10">
      <c r="A97" t="str">
        <f t="shared" si="4"/>
        <v>3002510</v>
      </c>
      <c r="B97">
        <v>101</v>
      </c>
      <c r="C97">
        <v>2510</v>
      </c>
      <c r="D97" s="498" cm="1">
        <f t="array" ref="D97">INDEX('Form A Mapping'!C:C, MATCH(1, (C97 &gt;= 'Form A Mapping'!A:A) * (C97 &lt;= 'Form A Mapping'!B:B), 0))</f>
        <v>17</v>
      </c>
      <c r="E97" s="472"/>
      <c r="F97" s="472"/>
      <c r="G97" s="473" t="s">
        <v>366</v>
      </c>
      <c r="H97" s="473">
        <v>96500</v>
      </c>
      <c r="I97" s="476">
        <f t="shared" si="5"/>
        <v>96500</v>
      </c>
      <c r="J97" s="478"/>
    </row>
    <row r="98" spans="1:10">
      <c r="A98" t="str">
        <f t="shared" si="4"/>
        <v>3002660</v>
      </c>
      <c r="B98">
        <v>101</v>
      </c>
      <c r="C98">
        <v>2660</v>
      </c>
      <c r="D98" s="498" cm="1">
        <f t="array" ref="D98">INDEX('Form A Mapping'!C:C, MATCH(1, (C98 &gt;= 'Form A Mapping'!A:A) * (C98 &lt;= 'Form A Mapping'!B:B), 0))</f>
        <v>18</v>
      </c>
      <c r="E98" s="472"/>
      <c r="F98" s="472"/>
      <c r="G98" s="473" t="s">
        <v>367</v>
      </c>
      <c r="H98" s="473"/>
      <c r="I98" s="476">
        <f t="shared" si="5"/>
        <v>0</v>
      </c>
      <c r="J98" s="478"/>
    </row>
    <row r="99" spans="1:10">
      <c r="A99" t="str">
        <f t="shared" si="4"/>
        <v>3002660</v>
      </c>
      <c r="B99">
        <v>101</v>
      </c>
      <c r="C99">
        <v>2660</v>
      </c>
      <c r="D99" s="498" cm="1">
        <f t="array" ref="D99">INDEX('Form A Mapping'!C:C, MATCH(1, (C99 &gt;= 'Form A Mapping'!A:A) * (C99 &lt;= 'Form A Mapping'!B:B), 0))</f>
        <v>18</v>
      </c>
      <c r="E99" s="472"/>
      <c r="F99" s="472"/>
      <c r="G99" s="473" t="s">
        <v>368</v>
      </c>
      <c r="H99" s="473">
        <v>18750</v>
      </c>
      <c r="I99" s="476">
        <f t="shared" si="5"/>
        <v>18750</v>
      </c>
      <c r="J99" s="478"/>
    </row>
    <row r="100" spans="1:10">
      <c r="A100" t="str">
        <f t="shared" ref="A100:A131" si="6">LEFT(G100, 7)</f>
        <v>3002830</v>
      </c>
      <c r="B100">
        <v>101</v>
      </c>
      <c r="C100">
        <v>2830</v>
      </c>
      <c r="D100" s="498" cm="1">
        <f t="array" ref="D100">INDEX('Form A Mapping'!C:C, MATCH(1, (C100 &gt;= 'Form A Mapping'!A:A) * (C100 &lt;= 'Form A Mapping'!B:B), 0))</f>
        <v>20</v>
      </c>
      <c r="E100" s="472"/>
      <c r="F100" s="472"/>
      <c r="G100" s="473" t="s">
        <v>369</v>
      </c>
      <c r="H100" s="473"/>
      <c r="I100" s="476">
        <f t="shared" si="5"/>
        <v>0</v>
      </c>
      <c r="J100" s="478"/>
    </row>
    <row r="101" spans="1:10">
      <c r="A101" t="str">
        <f t="shared" si="6"/>
        <v>3002830</v>
      </c>
      <c r="B101">
        <v>101</v>
      </c>
      <c r="C101">
        <v>2830</v>
      </c>
      <c r="D101" s="498" cm="1">
        <f t="array" ref="D101">INDEX('Form A Mapping'!C:C, MATCH(1, (C101 &gt;= 'Form A Mapping'!A:A) * (C101 &lt;= 'Form A Mapping'!B:B), 0))</f>
        <v>20</v>
      </c>
      <c r="E101" s="472"/>
      <c r="F101" s="472"/>
      <c r="G101" s="473" t="s">
        <v>370</v>
      </c>
      <c r="H101" s="473">
        <v>36000</v>
      </c>
      <c r="I101" s="476">
        <f t="shared" si="5"/>
        <v>36000</v>
      </c>
      <c r="J101" s="478"/>
    </row>
    <row r="102" spans="1:10">
      <c r="A102" t="str">
        <f t="shared" si="6"/>
        <v>3322310</v>
      </c>
      <c r="B102">
        <v>98</v>
      </c>
      <c r="C102">
        <v>2310</v>
      </c>
      <c r="D102" s="498" cm="1">
        <f t="array" ref="D102">INDEX('Form A Mapping'!C:C, MATCH(1, (C102 &gt;= 'Form A Mapping'!A:A) * (C102 &lt;= 'Form A Mapping'!B:B), 0))</f>
        <v>15</v>
      </c>
      <c r="E102" s="472"/>
      <c r="F102" s="472"/>
      <c r="G102" s="473" t="s">
        <v>371</v>
      </c>
      <c r="H102" s="473"/>
      <c r="I102" s="476">
        <f t="shared" si="5"/>
        <v>0</v>
      </c>
      <c r="J102" s="478"/>
    </row>
    <row r="103" spans="1:10">
      <c r="A103" t="str">
        <f t="shared" si="6"/>
        <v>3322310</v>
      </c>
      <c r="B103">
        <v>98</v>
      </c>
      <c r="C103">
        <v>2310</v>
      </c>
      <c r="D103" s="498" cm="1">
        <f t="array" ref="D103">INDEX('Form A Mapping'!C:C, MATCH(1, (C103 &gt;= 'Form A Mapping'!A:A) * (C103 &lt;= 'Form A Mapping'!B:B), 0))</f>
        <v>15</v>
      </c>
      <c r="E103" s="472"/>
      <c r="F103" s="472"/>
      <c r="G103" s="473" t="s">
        <v>372</v>
      </c>
      <c r="H103" s="473">
        <v>12500</v>
      </c>
      <c r="I103" s="476">
        <f t="shared" si="5"/>
        <v>12500</v>
      </c>
      <c r="J103" s="478"/>
    </row>
    <row r="104" spans="1:10">
      <c r="A104" t="str">
        <f t="shared" si="6"/>
        <v>3332310</v>
      </c>
      <c r="B104">
        <v>99</v>
      </c>
      <c r="C104">
        <v>2310</v>
      </c>
      <c r="D104" s="498" cm="1">
        <f t="array" ref="D104">INDEX('Form A Mapping'!C:C, MATCH(1, (C104 &gt;= 'Form A Mapping'!A:A) * (C104 &lt;= 'Form A Mapping'!B:B), 0))</f>
        <v>15</v>
      </c>
      <c r="E104" s="472"/>
      <c r="F104" s="472"/>
      <c r="G104" s="473" t="s">
        <v>373</v>
      </c>
      <c r="H104" s="473"/>
      <c r="I104" s="476">
        <f t="shared" si="5"/>
        <v>0</v>
      </c>
      <c r="J104" s="478"/>
    </row>
    <row r="105" spans="1:10">
      <c r="A105" t="str">
        <f t="shared" si="6"/>
        <v>3332310</v>
      </c>
      <c r="B105">
        <v>99</v>
      </c>
      <c r="C105">
        <v>2310</v>
      </c>
      <c r="D105" s="498" cm="1">
        <f t="array" ref="D105">INDEX('Form A Mapping'!C:C, MATCH(1, (C105 &gt;= 'Form A Mapping'!A:A) * (C105 &lt;= 'Form A Mapping'!B:B), 0))</f>
        <v>15</v>
      </c>
      <c r="E105" s="472"/>
      <c r="F105" s="472"/>
      <c r="G105" s="473" t="s">
        <v>374</v>
      </c>
      <c r="H105" s="473">
        <v>17199</v>
      </c>
      <c r="I105" s="476">
        <f t="shared" si="5"/>
        <v>17199</v>
      </c>
      <c r="J105" s="478"/>
    </row>
    <row r="106" spans="1:10">
      <c r="A106" t="str">
        <f t="shared" si="6"/>
        <v>3352134</v>
      </c>
      <c r="B106">
        <v>101</v>
      </c>
      <c r="C106">
        <v>2134</v>
      </c>
      <c r="D106" s="498" cm="1">
        <f t="array" ref="D106">INDEX('Form A Mapping'!C:C, MATCH(1, (C106 &gt;= 'Form A Mapping'!A:A) * (C106 &lt;= 'Form A Mapping'!B:B), 0))</f>
        <v>13</v>
      </c>
      <c r="E106" s="472"/>
      <c r="F106" s="472"/>
      <c r="G106" s="473" t="s">
        <v>375</v>
      </c>
      <c r="H106" s="473"/>
      <c r="I106" s="476">
        <f t="shared" si="5"/>
        <v>0</v>
      </c>
      <c r="J106" s="478"/>
    </row>
    <row r="107" spans="1:10">
      <c r="A107" t="str">
        <f t="shared" si="6"/>
        <v>3352134</v>
      </c>
      <c r="B107">
        <v>101</v>
      </c>
      <c r="C107">
        <v>2134</v>
      </c>
      <c r="D107" s="498" cm="1">
        <f t="array" ref="D107">INDEX('Form A Mapping'!C:C, MATCH(1, (C107 &gt;= 'Form A Mapping'!A:A) * (C107 &lt;= 'Form A Mapping'!B:B), 0))</f>
        <v>13</v>
      </c>
      <c r="E107" s="472"/>
      <c r="F107" s="472"/>
      <c r="G107" s="473" t="s">
        <v>376</v>
      </c>
      <c r="H107" s="473">
        <v>5000</v>
      </c>
      <c r="I107" s="476">
        <f t="shared" si="5"/>
        <v>5000</v>
      </c>
      <c r="J107" s="478"/>
    </row>
    <row r="108" spans="1:10">
      <c r="A108" t="str">
        <f t="shared" si="6"/>
        <v>3402840</v>
      </c>
      <c r="B108">
        <v>101</v>
      </c>
      <c r="C108">
        <v>2840</v>
      </c>
      <c r="D108" s="498" cm="1">
        <f t="array" ref="D108">INDEX('Form A Mapping'!C:C, MATCH(1, (C108 &gt;= 'Form A Mapping'!A:A) * (C108 &lt;= 'Form A Mapping'!B:B), 0))</f>
        <v>20</v>
      </c>
      <c r="E108" s="472"/>
      <c r="F108" s="472"/>
      <c r="G108" s="473" t="s">
        <v>377</v>
      </c>
      <c r="H108" s="473"/>
      <c r="I108" s="476">
        <f t="shared" si="5"/>
        <v>0</v>
      </c>
      <c r="J108" s="478"/>
    </row>
    <row r="109" spans="1:10">
      <c r="A109" t="str">
        <f t="shared" si="6"/>
        <v>3402840</v>
      </c>
      <c r="B109">
        <v>101</v>
      </c>
      <c r="C109">
        <v>2840</v>
      </c>
      <c r="D109" s="498" cm="1">
        <f t="array" ref="D109">INDEX('Form A Mapping'!C:C, MATCH(1, (C109 &gt;= 'Form A Mapping'!A:A) * (C109 &lt;= 'Form A Mapping'!B:B), 0))</f>
        <v>20</v>
      </c>
      <c r="E109" s="472"/>
      <c r="F109" s="472"/>
      <c r="G109" s="473" t="s">
        <v>378</v>
      </c>
      <c r="H109" s="473">
        <v>138750</v>
      </c>
      <c r="I109" s="476">
        <f t="shared" si="5"/>
        <v>138750</v>
      </c>
      <c r="J109" s="478"/>
    </row>
    <row r="110" spans="1:10">
      <c r="A110" t="str">
        <f t="shared" si="6"/>
        <v>Purchas</v>
      </c>
      <c r="E110" s="472"/>
      <c r="F110" s="472"/>
      <c r="G110" s="479" t="s">
        <v>249</v>
      </c>
      <c r="H110" s="603">
        <f>SUM(H82:H109)</f>
        <v>776831</v>
      </c>
      <c r="I110" s="476"/>
      <c r="J110" s="478"/>
    </row>
    <row r="111" spans="1:10">
      <c r="A111" t="str">
        <f t="shared" si="6"/>
        <v/>
      </c>
      <c r="E111" s="472"/>
      <c r="F111" s="472" t="s">
        <v>250</v>
      </c>
      <c r="G111" s="473"/>
      <c r="H111" s="473"/>
      <c r="I111" s="476"/>
      <c r="J111" s="478"/>
    </row>
    <row r="112" spans="1:10">
      <c r="A112" t="str">
        <f t="shared" si="6"/>
        <v>4002310</v>
      </c>
      <c r="B112">
        <v>108</v>
      </c>
      <c r="C112">
        <v>2310</v>
      </c>
      <c r="D112" s="498" cm="1">
        <f t="array" ref="D112">INDEX('Form A Mapping'!C:C, MATCH(1, (C112 &gt;= 'Form A Mapping'!A:A) * (C112 &lt;= 'Form A Mapping'!B:B), 0))</f>
        <v>15</v>
      </c>
      <c r="E112" s="472"/>
      <c r="F112" s="472"/>
      <c r="G112" s="473" t="s">
        <v>379</v>
      </c>
      <c r="H112" s="473"/>
      <c r="I112" s="476">
        <f t="shared" si="5"/>
        <v>0</v>
      </c>
      <c r="J112" s="478"/>
    </row>
    <row r="113" spans="1:10">
      <c r="A113" t="str">
        <f t="shared" si="6"/>
        <v>4002310</v>
      </c>
      <c r="B113">
        <v>108</v>
      </c>
      <c r="C113">
        <v>2310</v>
      </c>
      <c r="D113" s="498" cm="1">
        <f t="array" ref="D113">INDEX('Form A Mapping'!C:C, MATCH(1, (C113 &gt;= 'Form A Mapping'!A:A) * (C113 &lt;= 'Form A Mapping'!B:B), 0))</f>
        <v>15</v>
      </c>
      <c r="E113" s="472"/>
      <c r="F113" s="472"/>
      <c r="G113" s="473" t="s">
        <v>380</v>
      </c>
      <c r="H113" s="473">
        <v>30000</v>
      </c>
      <c r="I113" s="476">
        <f t="shared" si="5"/>
        <v>30000</v>
      </c>
      <c r="J113" s="478"/>
    </row>
    <row r="114" spans="1:10">
      <c r="A114" t="str">
        <f t="shared" si="6"/>
        <v>4002660</v>
      </c>
      <c r="B114">
        <v>108</v>
      </c>
      <c r="C114">
        <v>2660</v>
      </c>
      <c r="D114" s="498" cm="1">
        <f t="array" ref="D114">INDEX('Form A Mapping'!C:C, MATCH(1, (C114 &gt;= 'Form A Mapping'!A:A) * (C114 &lt;= 'Form A Mapping'!B:B), 0))</f>
        <v>18</v>
      </c>
      <c r="E114" s="472"/>
      <c r="F114" s="472"/>
      <c r="G114" s="473" t="s">
        <v>381</v>
      </c>
      <c r="H114" s="473"/>
      <c r="I114" s="476">
        <f t="shared" si="5"/>
        <v>0</v>
      </c>
      <c r="J114" s="478"/>
    </row>
    <row r="115" spans="1:10">
      <c r="A115" t="str">
        <f t="shared" si="6"/>
        <v>4002660</v>
      </c>
      <c r="B115">
        <v>108</v>
      </c>
      <c r="C115">
        <v>2660</v>
      </c>
      <c r="D115" s="498" cm="1">
        <f t="array" ref="D115">INDEX('Form A Mapping'!C:C, MATCH(1, (C115 &gt;= 'Form A Mapping'!A:A) * (C115 &lt;= 'Form A Mapping'!B:B), 0))</f>
        <v>18</v>
      </c>
      <c r="E115" s="472"/>
      <c r="F115" s="472"/>
      <c r="G115" s="473" t="s">
        <v>382</v>
      </c>
      <c r="H115" s="473">
        <v>21000</v>
      </c>
      <c r="I115" s="476">
        <f t="shared" si="5"/>
        <v>21000</v>
      </c>
      <c r="J115" s="478"/>
    </row>
    <row r="116" spans="1:10">
      <c r="A116" t="str">
        <f t="shared" si="6"/>
        <v>4112620</v>
      </c>
      <c r="B116">
        <v>104</v>
      </c>
      <c r="C116">
        <v>2620</v>
      </c>
      <c r="D116" s="498" cm="1">
        <f t="array" ref="D116">INDEX('Form A Mapping'!C:C, MATCH(1, (C116 &gt;= 'Form A Mapping'!A:A) * (C116 &lt;= 'Form A Mapping'!B:B), 0))</f>
        <v>18</v>
      </c>
      <c r="E116" s="472"/>
      <c r="F116" s="472"/>
      <c r="G116" s="473" t="s">
        <v>383</v>
      </c>
      <c r="H116" s="473"/>
      <c r="I116" s="476">
        <f t="shared" si="5"/>
        <v>0</v>
      </c>
      <c r="J116" s="478"/>
    </row>
    <row r="117" spans="1:10">
      <c r="A117" t="str">
        <f t="shared" si="6"/>
        <v>4112620</v>
      </c>
      <c r="B117">
        <v>104</v>
      </c>
      <c r="C117">
        <v>2620</v>
      </c>
      <c r="D117" s="498" cm="1">
        <f t="array" ref="D117">INDEX('Form A Mapping'!C:C, MATCH(1, (C117 &gt;= 'Form A Mapping'!A:A) * (C117 &lt;= 'Form A Mapping'!B:B), 0))</f>
        <v>18</v>
      </c>
      <c r="E117" s="472"/>
      <c r="F117" s="472"/>
      <c r="G117" s="473" t="s">
        <v>384</v>
      </c>
      <c r="H117" s="473">
        <v>24500</v>
      </c>
      <c r="I117" s="476">
        <f t="shared" si="5"/>
        <v>24500</v>
      </c>
      <c r="J117" s="478"/>
    </row>
    <row r="118" spans="1:10">
      <c r="A118" t="str">
        <f t="shared" si="6"/>
        <v>4212620</v>
      </c>
      <c r="B118">
        <v>108</v>
      </c>
      <c r="C118">
        <v>2620</v>
      </c>
      <c r="D118" s="498" cm="1">
        <f t="array" ref="D118">INDEX('Form A Mapping'!C:C, MATCH(1, (C118 &gt;= 'Form A Mapping'!A:A) * (C118 &lt;= 'Form A Mapping'!B:B), 0))</f>
        <v>18</v>
      </c>
      <c r="E118" s="472"/>
      <c r="F118" s="472"/>
      <c r="G118" s="473" t="s">
        <v>385</v>
      </c>
      <c r="H118" s="473"/>
      <c r="I118" s="476">
        <f t="shared" si="5"/>
        <v>0</v>
      </c>
      <c r="J118" s="478"/>
    </row>
    <row r="119" spans="1:10">
      <c r="A119" t="str">
        <f t="shared" si="6"/>
        <v>4212620</v>
      </c>
      <c r="B119">
        <v>108</v>
      </c>
      <c r="C119">
        <v>2620</v>
      </c>
      <c r="D119" s="498" cm="1">
        <f t="array" ref="D119">INDEX('Form A Mapping'!C:C, MATCH(1, (C119 &gt;= 'Form A Mapping'!A:A) * (C119 &lt;= 'Form A Mapping'!B:B), 0))</f>
        <v>18</v>
      </c>
      <c r="E119" s="472"/>
      <c r="F119" s="472"/>
      <c r="G119" s="473" t="s">
        <v>386</v>
      </c>
      <c r="H119" s="473">
        <v>12039</v>
      </c>
      <c r="I119" s="476">
        <f t="shared" si="5"/>
        <v>12039</v>
      </c>
      <c r="J119" s="478"/>
    </row>
    <row r="120" spans="1:10">
      <c r="A120" t="str">
        <f t="shared" si="6"/>
        <v>4242630</v>
      </c>
      <c r="B120">
        <v>108</v>
      </c>
      <c r="C120">
        <v>2630</v>
      </c>
      <c r="D120" s="498" cm="1">
        <f t="array" ref="D120">INDEX('Form A Mapping'!C:C, MATCH(1, (C120 &gt;= 'Form A Mapping'!A:A) * (C120 &lt;= 'Form A Mapping'!B:B), 0))</f>
        <v>18</v>
      </c>
      <c r="E120" s="472"/>
      <c r="F120" s="472"/>
      <c r="G120" s="473" t="s">
        <v>387</v>
      </c>
      <c r="H120" s="473"/>
      <c r="I120" s="476">
        <f t="shared" si="5"/>
        <v>0</v>
      </c>
      <c r="J120" s="478"/>
    </row>
    <row r="121" spans="1:10">
      <c r="A121" t="str">
        <f t="shared" si="6"/>
        <v>4242630</v>
      </c>
      <c r="B121">
        <v>108</v>
      </c>
      <c r="C121">
        <v>2630</v>
      </c>
      <c r="D121" s="498" cm="1">
        <f t="array" ref="D121">INDEX('Form A Mapping'!C:C, MATCH(1, (C121 &gt;= 'Form A Mapping'!A:A) * (C121 &lt;= 'Form A Mapping'!B:B), 0))</f>
        <v>18</v>
      </c>
      <c r="E121" s="472"/>
      <c r="F121" s="472"/>
      <c r="G121" s="473" t="s">
        <v>388</v>
      </c>
      <c r="H121" s="473">
        <v>15000</v>
      </c>
      <c r="I121" s="476">
        <f t="shared" si="5"/>
        <v>15000</v>
      </c>
      <c r="J121" s="478"/>
    </row>
    <row r="122" spans="1:10">
      <c r="A122" t="str">
        <f t="shared" si="6"/>
        <v>4302620</v>
      </c>
      <c r="B122">
        <v>107</v>
      </c>
      <c r="C122">
        <v>2620</v>
      </c>
      <c r="D122" s="498" cm="1">
        <f t="array" ref="D122">INDEX('Form A Mapping'!C:C, MATCH(1, (C122 &gt;= 'Form A Mapping'!A:A) * (C122 &lt;= 'Form A Mapping'!B:B), 0))</f>
        <v>18</v>
      </c>
      <c r="E122" s="472"/>
      <c r="F122" s="472"/>
      <c r="G122" s="473" t="s">
        <v>389</v>
      </c>
      <c r="H122" s="473"/>
      <c r="I122" s="476">
        <f t="shared" si="5"/>
        <v>0</v>
      </c>
      <c r="J122" s="478"/>
    </row>
    <row r="123" spans="1:10">
      <c r="A123" t="str">
        <f t="shared" si="6"/>
        <v>4302620</v>
      </c>
      <c r="B123">
        <v>107</v>
      </c>
      <c r="C123">
        <v>2620</v>
      </c>
      <c r="D123" s="498" cm="1">
        <f t="array" ref="D123">INDEX('Form A Mapping'!C:C, MATCH(1, (C123 &gt;= 'Form A Mapping'!A:A) * (C123 &lt;= 'Form A Mapping'!B:B), 0))</f>
        <v>18</v>
      </c>
      <c r="E123" s="472"/>
      <c r="F123" s="472"/>
      <c r="G123" s="473" t="s">
        <v>390</v>
      </c>
      <c r="H123" s="473">
        <v>81000</v>
      </c>
      <c r="I123" s="476">
        <f t="shared" si="5"/>
        <v>81000</v>
      </c>
      <c r="J123" s="478"/>
    </row>
    <row r="124" spans="1:10">
      <c r="A124" t="str">
        <f t="shared" si="6"/>
        <v>4422400</v>
      </c>
      <c r="B124">
        <v>106</v>
      </c>
      <c r="C124">
        <v>2400</v>
      </c>
      <c r="D124" s="498" cm="1">
        <f t="array" ref="D124">INDEX('Form A Mapping'!C:C, MATCH(1, (C124 &gt;= 'Form A Mapping'!A:A) * (C124 &lt;= 'Form A Mapping'!B:B), 0))</f>
        <v>16</v>
      </c>
      <c r="E124" s="472"/>
      <c r="F124" s="472"/>
      <c r="G124" s="473" t="s">
        <v>391</v>
      </c>
      <c r="H124" s="473"/>
      <c r="I124" s="476">
        <f t="shared" si="5"/>
        <v>0</v>
      </c>
      <c r="J124" s="478"/>
    </row>
    <row r="125" spans="1:10">
      <c r="A125" t="str">
        <f t="shared" si="6"/>
        <v>4422400</v>
      </c>
      <c r="B125">
        <v>106</v>
      </c>
      <c r="C125">
        <v>2400</v>
      </c>
      <c r="D125" s="498" cm="1">
        <f t="array" ref="D125">INDEX('Form A Mapping'!C:C, MATCH(1, (C125 &gt;= 'Form A Mapping'!A:A) * (C125 &lt;= 'Form A Mapping'!B:B), 0))</f>
        <v>16</v>
      </c>
      <c r="E125" s="472"/>
      <c r="F125" s="472"/>
      <c r="G125" s="473" t="s">
        <v>392</v>
      </c>
      <c r="H125" s="473">
        <v>22070</v>
      </c>
      <c r="I125" s="476">
        <f t="shared" si="5"/>
        <v>22070</v>
      </c>
      <c r="J125" s="478"/>
    </row>
    <row r="126" spans="1:10">
      <c r="A126" t="str">
        <f t="shared" si="6"/>
        <v>Purchas</v>
      </c>
      <c r="E126" s="472"/>
      <c r="F126" s="472"/>
      <c r="G126" s="479" t="s">
        <v>251</v>
      </c>
      <c r="H126" s="603">
        <f>SUM(H112:H125)</f>
        <v>205609</v>
      </c>
      <c r="I126" s="476"/>
      <c r="J126" s="478"/>
    </row>
    <row r="127" spans="1:10">
      <c r="A127" t="str">
        <f t="shared" si="6"/>
        <v/>
      </c>
      <c r="E127" s="472"/>
      <c r="F127" s="472" t="s">
        <v>252</v>
      </c>
      <c r="G127" s="473"/>
      <c r="H127" s="473"/>
      <c r="I127" s="476"/>
      <c r="J127" s="478"/>
    </row>
    <row r="128" spans="1:10">
      <c r="A128" t="str">
        <f t="shared" si="6"/>
        <v>5001100</v>
      </c>
      <c r="B128">
        <v>119</v>
      </c>
      <c r="C128">
        <v>1100</v>
      </c>
      <c r="D128" s="498" cm="1">
        <f t="array" ref="D128">INDEX('Form A Mapping'!C:C, MATCH(1, (C128 &gt;= 'Form A Mapping'!A:A) * (C128 &lt;= 'Form A Mapping'!B:B), 0))</f>
        <v>7</v>
      </c>
      <c r="E128" s="472"/>
      <c r="F128" s="472"/>
      <c r="G128" s="473" t="s">
        <v>393</v>
      </c>
      <c r="H128" s="473"/>
      <c r="I128" s="476">
        <f t="shared" si="5"/>
        <v>0</v>
      </c>
      <c r="J128" s="478"/>
    </row>
    <row r="129" spans="1:10">
      <c r="A129" t="str">
        <f t="shared" si="6"/>
        <v>5001100</v>
      </c>
      <c r="B129">
        <v>119</v>
      </c>
      <c r="C129">
        <v>1100</v>
      </c>
      <c r="D129" s="498" cm="1">
        <f t="array" ref="D129">INDEX('Form A Mapping'!C:C, MATCH(1, (C129 &gt;= 'Form A Mapping'!A:A) * (C129 &lt;= 'Form A Mapping'!B:B), 0))</f>
        <v>7</v>
      </c>
      <c r="E129" s="472"/>
      <c r="F129" s="472"/>
      <c r="G129" s="473" t="s">
        <v>394</v>
      </c>
      <c r="H129" s="473">
        <v>26250</v>
      </c>
      <c r="I129" s="476">
        <f t="shared" si="5"/>
        <v>26250</v>
      </c>
      <c r="J129" s="478"/>
    </row>
    <row r="130" spans="1:10">
      <c r="A130" t="str">
        <f t="shared" si="6"/>
        <v>5002720</v>
      </c>
      <c r="B130">
        <v>111</v>
      </c>
      <c r="C130">
        <v>2720</v>
      </c>
      <c r="D130" s="498" cm="1">
        <f t="array" ref="D130">INDEX('Form A Mapping'!C:C, MATCH(1, (C130 &gt;= 'Form A Mapping'!A:A) * (C130 &lt;= 'Form A Mapping'!B:B), 0))</f>
        <v>19</v>
      </c>
      <c r="E130" s="472"/>
      <c r="F130" s="472"/>
      <c r="G130" s="473" t="s">
        <v>395</v>
      </c>
      <c r="H130" s="473"/>
      <c r="I130" s="476">
        <f t="shared" si="5"/>
        <v>0</v>
      </c>
      <c r="J130" s="478"/>
    </row>
    <row r="131" spans="1:10">
      <c r="A131" t="str">
        <f t="shared" si="6"/>
        <v>5002720</v>
      </c>
      <c r="B131">
        <v>111</v>
      </c>
      <c r="C131">
        <v>2720</v>
      </c>
      <c r="D131" s="498" cm="1">
        <f t="array" ref="D131">INDEX('Form A Mapping'!C:C, MATCH(1, (C131 &gt;= 'Form A Mapping'!A:A) * (C131 &lt;= 'Form A Mapping'!B:B), 0))</f>
        <v>19</v>
      </c>
      <c r="E131" s="472"/>
      <c r="F131" s="472"/>
      <c r="G131" s="473" t="s">
        <v>396</v>
      </c>
      <c r="H131" s="473">
        <v>351360</v>
      </c>
      <c r="I131" s="476">
        <f t="shared" si="5"/>
        <v>351360</v>
      </c>
      <c r="J131" s="478"/>
    </row>
    <row r="132" spans="1:10">
      <c r="A132" t="str">
        <f t="shared" ref="A132:A163" si="7">LEFT(G132, 7)</f>
        <v>5212310</v>
      </c>
      <c r="B132">
        <v>113</v>
      </c>
      <c r="C132">
        <v>2310</v>
      </c>
      <c r="D132" s="498" cm="1">
        <f t="array" ref="D132">INDEX('Form A Mapping'!C:C, MATCH(1, (C132 &gt;= 'Form A Mapping'!A:A) * (C132 &lt;= 'Form A Mapping'!B:B), 0))</f>
        <v>15</v>
      </c>
      <c r="E132" s="472"/>
      <c r="F132" s="472"/>
      <c r="G132" s="473" t="s">
        <v>397</v>
      </c>
      <c r="H132" s="473"/>
      <c r="I132" s="476">
        <f t="shared" si="5"/>
        <v>0</v>
      </c>
      <c r="J132" s="478"/>
    </row>
    <row r="133" spans="1:10">
      <c r="A133" t="str">
        <f t="shared" si="7"/>
        <v>5212310</v>
      </c>
      <c r="B133">
        <v>113</v>
      </c>
      <c r="C133">
        <v>2310</v>
      </c>
      <c r="D133" s="498" cm="1">
        <f t="array" ref="D133">INDEX('Form A Mapping'!C:C, MATCH(1, (C133 &gt;= 'Form A Mapping'!A:A) * (C133 &lt;= 'Form A Mapping'!B:B), 0))</f>
        <v>15</v>
      </c>
      <c r="E133" s="472"/>
      <c r="F133" s="472"/>
      <c r="G133" s="473" t="s">
        <v>398</v>
      </c>
      <c r="H133" s="473">
        <v>51000</v>
      </c>
      <c r="I133" s="476">
        <f t="shared" ref="I133:I168" si="8">H133-J133</f>
        <v>51000</v>
      </c>
      <c r="J133" s="478"/>
    </row>
    <row r="134" spans="1:10">
      <c r="A134" t="str">
        <f t="shared" si="7"/>
        <v>5222620</v>
      </c>
      <c r="B134">
        <v>112</v>
      </c>
      <c r="C134">
        <v>2620</v>
      </c>
      <c r="D134" s="498" cm="1">
        <f t="array" ref="D134">INDEX('Form A Mapping'!C:C, MATCH(1, (C134 &gt;= 'Form A Mapping'!A:A) * (C134 &lt;= 'Form A Mapping'!B:B), 0))</f>
        <v>18</v>
      </c>
      <c r="E134" s="472"/>
      <c r="F134" s="472"/>
      <c r="G134" s="473" t="s">
        <v>399</v>
      </c>
      <c r="H134" s="473"/>
      <c r="I134" s="476">
        <f t="shared" si="8"/>
        <v>0</v>
      </c>
      <c r="J134" s="478"/>
    </row>
    <row r="135" spans="1:10">
      <c r="A135" t="str">
        <f t="shared" si="7"/>
        <v>5302400</v>
      </c>
      <c r="B135">
        <v>119</v>
      </c>
      <c r="C135">
        <v>2400</v>
      </c>
      <c r="D135" s="498">
        <v>16</v>
      </c>
      <c r="E135" s="472"/>
      <c r="F135" s="472"/>
      <c r="G135" s="473" t="s">
        <v>400</v>
      </c>
      <c r="H135" s="473"/>
      <c r="I135" s="476">
        <f t="shared" si="8"/>
        <v>0</v>
      </c>
      <c r="J135" s="478"/>
    </row>
    <row r="136" spans="1:10">
      <c r="A136" t="str">
        <f t="shared" si="7"/>
        <v>5302400</v>
      </c>
      <c r="B136">
        <v>119</v>
      </c>
      <c r="C136">
        <v>2400</v>
      </c>
      <c r="D136" s="498" cm="1">
        <f t="array" ref="D136">INDEX('Form A Mapping'!C:C, MATCH(1, (C136 &gt;= 'Form A Mapping'!A:A) * (C136 &lt;= 'Form A Mapping'!B:B), 0))</f>
        <v>16</v>
      </c>
      <c r="E136" s="472"/>
      <c r="F136" s="472"/>
      <c r="G136" s="473" t="s">
        <v>401</v>
      </c>
      <c r="H136" s="473">
        <v>78288.239179902928</v>
      </c>
      <c r="I136" s="476">
        <f t="shared" si="8"/>
        <v>78288.239179902928</v>
      </c>
      <c r="J136" s="478"/>
    </row>
    <row r="137" spans="1:10">
      <c r="A137" t="str">
        <f t="shared" si="7"/>
        <v>5703100</v>
      </c>
      <c r="B137">
        <v>117</v>
      </c>
      <c r="C137">
        <v>3100</v>
      </c>
      <c r="D137" s="498" cm="1">
        <f t="array" ref="D137">INDEX('Form A Mapping'!C:C, MATCH(1, (C137 &gt;= 'Form A Mapping'!A:A) * (C137 &lt;= 'Form A Mapping'!B:B), 0))</f>
        <v>21</v>
      </c>
      <c r="E137" s="472"/>
      <c r="F137" s="472"/>
      <c r="G137" s="473" t="s">
        <v>402</v>
      </c>
      <c r="H137" s="473"/>
      <c r="I137" s="476">
        <f t="shared" si="8"/>
        <v>0</v>
      </c>
      <c r="J137" s="478"/>
    </row>
    <row r="138" spans="1:10">
      <c r="A138" t="str">
        <f t="shared" si="7"/>
        <v>5703100</v>
      </c>
      <c r="B138">
        <v>117</v>
      </c>
      <c r="C138">
        <v>3100</v>
      </c>
      <c r="D138" s="498" cm="1">
        <f t="array" ref="D138">INDEX('Form A Mapping'!C:C, MATCH(1, (C138 &gt;= 'Form A Mapping'!A:A) * (C138 &lt;= 'Form A Mapping'!B:B), 0))</f>
        <v>21</v>
      </c>
      <c r="E138" s="472"/>
      <c r="F138" s="472"/>
      <c r="G138" s="473" t="s">
        <v>403</v>
      </c>
      <c r="H138" s="473">
        <v>267500</v>
      </c>
      <c r="I138" s="476">
        <f t="shared" si="8"/>
        <v>0</v>
      </c>
      <c r="J138" s="481">
        <f>H138</f>
        <v>267500</v>
      </c>
    </row>
    <row r="139" spans="1:10">
      <c r="A139" t="str">
        <f t="shared" si="7"/>
        <v>5822220</v>
      </c>
      <c r="B139">
        <v>118</v>
      </c>
      <c r="C139">
        <v>2220</v>
      </c>
      <c r="D139" s="498" cm="1">
        <f t="array" ref="D139">INDEX('Form A Mapping'!C:C, MATCH(1, (C139 &gt;= 'Form A Mapping'!A:A) * (C139 &lt;= 'Form A Mapping'!B:B), 0))</f>
        <v>14</v>
      </c>
      <c r="E139" s="472"/>
      <c r="F139" s="472"/>
      <c r="G139" s="473" t="s">
        <v>404</v>
      </c>
      <c r="H139" s="473"/>
      <c r="I139" s="476">
        <f t="shared" si="8"/>
        <v>0</v>
      </c>
      <c r="J139" s="478"/>
    </row>
    <row r="140" spans="1:10">
      <c r="A140" t="str">
        <f t="shared" si="7"/>
        <v>5822220</v>
      </c>
      <c r="B140">
        <v>118</v>
      </c>
      <c r="C140">
        <v>2220</v>
      </c>
      <c r="D140" s="498" cm="1">
        <f t="array" ref="D140">INDEX('Form A Mapping'!C:C, MATCH(1, (C140 &gt;= 'Form A Mapping'!A:A) * (C140 &lt;= 'Form A Mapping'!B:B), 0))</f>
        <v>14</v>
      </c>
      <c r="E140" s="472"/>
      <c r="F140" s="472"/>
      <c r="G140" s="473" t="s">
        <v>405</v>
      </c>
      <c r="H140" s="473">
        <v>15000</v>
      </c>
      <c r="I140" s="476">
        <f t="shared" si="8"/>
        <v>15000</v>
      </c>
      <c r="J140" s="478"/>
    </row>
    <row r="141" spans="1:10">
      <c r="A141" t="str">
        <f t="shared" si="7"/>
        <v>5822400</v>
      </c>
      <c r="B141">
        <v>118</v>
      </c>
      <c r="C141">
        <v>2400</v>
      </c>
      <c r="D141" s="498" cm="1">
        <f t="array" ref="D141">INDEX('Form A Mapping'!C:C, MATCH(1, (C141 &gt;= 'Form A Mapping'!A:A) * (C141 &lt;= 'Form A Mapping'!B:B), 0))</f>
        <v>16</v>
      </c>
      <c r="E141" s="472"/>
      <c r="F141" s="472"/>
      <c r="G141" s="473" t="s">
        <v>406</v>
      </c>
      <c r="H141" s="473"/>
      <c r="I141" s="476">
        <f t="shared" si="8"/>
        <v>0</v>
      </c>
      <c r="J141" s="478"/>
    </row>
    <row r="142" spans="1:10">
      <c r="A142" t="str">
        <f t="shared" si="7"/>
        <v>5822400</v>
      </c>
      <c r="B142">
        <v>118</v>
      </c>
      <c r="C142">
        <v>2400</v>
      </c>
      <c r="D142" s="498" cm="1">
        <f t="array" ref="D142">INDEX('Form A Mapping'!C:C, MATCH(1, (C142 &gt;= 'Form A Mapping'!A:A) * (C142 &lt;= 'Form A Mapping'!B:B), 0))</f>
        <v>16</v>
      </c>
      <c r="E142" s="472"/>
      <c r="F142" s="472"/>
      <c r="G142" s="473" t="s">
        <v>407</v>
      </c>
      <c r="H142" s="473">
        <v>5000</v>
      </c>
      <c r="I142" s="476">
        <f t="shared" si="8"/>
        <v>5000</v>
      </c>
      <c r="J142" s="478"/>
    </row>
    <row r="143" spans="1:10">
      <c r="A143" t="str">
        <f t="shared" si="7"/>
        <v>Other P</v>
      </c>
      <c r="E143" s="472"/>
      <c r="F143" s="472"/>
      <c r="G143" s="479" t="s">
        <v>253</v>
      </c>
      <c r="H143" s="603">
        <f>SUM(H127:H142)</f>
        <v>794398.23917990294</v>
      </c>
      <c r="I143" s="476"/>
      <c r="J143" s="478"/>
    </row>
    <row r="144" spans="1:10">
      <c r="A144" t="str">
        <f t="shared" si="7"/>
        <v/>
      </c>
      <c r="E144" s="472"/>
      <c r="F144" s="472" t="s">
        <v>254</v>
      </c>
      <c r="G144" s="473"/>
      <c r="H144" s="473"/>
      <c r="I144" s="476"/>
      <c r="J144" s="478"/>
    </row>
    <row r="145" spans="1:10">
      <c r="A145" t="str">
        <f t="shared" si="7"/>
        <v>6101100</v>
      </c>
      <c r="B145">
        <v>122</v>
      </c>
      <c r="C145">
        <v>1100</v>
      </c>
      <c r="D145" s="498" cm="1">
        <f t="array" ref="D145">INDEX('Form A Mapping'!C:C, MATCH(1, (C145 &gt;= 'Form A Mapping'!A:A) * (C145 &lt;= 'Form A Mapping'!B:B), 0))</f>
        <v>7</v>
      </c>
      <c r="E145" s="472"/>
      <c r="F145" s="472"/>
      <c r="G145" s="473" t="s">
        <v>408</v>
      </c>
      <c r="H145" s="473"/>
      <c r="I145" s="476">
        <f t="shared" si="8"/>
        <v>0</v>
      </c>
      <c r="J145" s="478"/>
    </row>
    <row r="146" spans="1:10">
      <c r="A146" t="str">
        <f t="shared" si="7"/>
        <v>6101100</v>
      </c>
      <c r="B146">
        <v>122</v>
      </c>
      <c r="C146">
        <v>1100</v>
      </c>
      <c r="D146" s="498" cm="1">
        <f t="array" ref="D146">INDEX('Form A Mapping'!C:C, MATCH(1, (C146 &gt;= 'Form A Mapping'!A:A) * (C146 &lt;= 'Form A Mapping'!B:B), 0))</f>
        <v>7</v>
      </c>
      <c r="E146" s="472"/>
      <c r="F146" s="472"/>
      <c r="G146" s="473" t="s">
        <v>409</v>
      </c>
      <c r="H146" s="473">
        <v>92500</v>
      </c>
      <c r="I146" s="476">
        <f t="shared" si="8"/>
        <v>92500</v>
      </c>
      <c r="J146" s="478"/>
    </row>
    <row r="147" spans="1:10">
      <c r="A147" t="str">
        <f t="shared" si="7"/>
        <v>6101210</v>
      </c>
      <c r="B147">
        <v>122</v>
      </c>
      <c r="C147">
        <v>1210</v>
      </c>
      <c r="D147" s="498" cm="1">
        <f t="array" ref="D147">INDEX('Form A Mapping'!C:C, MATCH(1, (C147 &gt;= 'Form A Mapping'!A:A) * (C147 &lt;= 'Form A Mapping'!B:B), 0))</f>
        <v>8</v>
      </c>
      <c r="E147" s="472"/>
      <c r="F147" s="472"/>
      <c r="G147" s="473" t="s">
        <v>410</v>
      </c>
      <c r="H147" s="473"/>
      <c r="I147" s="476">
        <f t="shared" si="8"/>
        <v>0</v>
      </c>
      <c r="J147" s="478"/>
    </row>
    <row r="148" spans="1:10">
      <c r="A148" t="str">
        <f t="shared" si="7"/>
        <v>6101210</v>
      </c>
      <c r="B148">
        <v>122</v>
      </c>
      <c r="C148">
        <v>1210</v>
      </c>
      <c r="D148" s="498" cm="1">
        <f t="array" ref="D148">INDEX('Form A Mapping'!C:C, MATCH(1, (C148 &gt;= 'Form A Mapping'!A:A) * (C148 &lt;= 'Form A Mapping'!B:B), 0))</f>
        <v>8</v>
      </c>
      <c r="E148" s="472"/>
      <c r="F148" s="472"/>
      <c r="G148" s="473" t="s">
        <v>411</v>
      </c>
      <c r="H148" s="473">
        <v>3500</v>
      </c>
      <c r="I148" s="476">
        <f t="shared" si="8"/>
        <v>3500</v>
      </c>
      <c r="J148" s="478"/>
    </row>
    <row r="149" spans="1:10">
      <c r="A149" t="str">
        <f t="shared" si="7"/>
        <v>6101420</v>
      </c>
      <c r="B149">
        <v>122</v>
      </c>
      <c r="C149">
        <v>1420</v>
      </c>
      <c r="D149" s="498" cm="1">
        <f t="array" ref="D149">INDEX('Form A Mapping'!C:C, MATCH(1, (C149 &gt;= 'Form A Mapping'!A:A) * (C149 &lt;= 'Form A Mapping'!B:B), 0))</f>
        <v>10</v>
      </c>
      <c r="E149" s="472"/>
      <c r="F149" s="472"/>
      <c r="G149" s="473" t="s">
        <v>412</v>
      </c>
      <c r="H149" s="473"/>
      <c r="I149" s="476">
        <f t="shared" si="8"/>
        <v>0</v>
      </c>
      <c r="J149" s="478"/>
    </row>
    <row r="150" spans="1:10">
      <c r="A150" t="str">
        <f t="shared" si="7"/>
        <v>6101420</v>
      </c>
      <c r="B150">
        <v>122</v>
      </c>
      <c r="C150">
        <v>1420</v>
      </c>
      <c r="D150" s="498" cm="1">
        <f t="array" ref="D150">INDEX('Form A Mapping'!C:C, MATCH(1, (C150 &gt;= 'Form A Mapping'!A:A) * (C150 &lt;= 'Form A Mapping'!B:B), 0))</f>
        <v>10</v>
      </c>
      <c r="E150" s="472"/>
      <c r="F150" s="472"/>
      <c r="G150" s="473" t="s">
        <v>413</v>
      </c>
      <c r="H150" s="473">
        <v>5000</v>
      </c>
      <c r="I150" s="476">
        <f t="shared" si="8"/>
        <v>5000</v>
      </c>
      <c r="J150" s="478"/>
    </row>
    <row r="151" spans="1:10">
      <c r="A151" t="str">
        <f t="shared" si="7"/>
        <v>6102211</v>
      </c>
      <c r="B151">
        <v>122</v>
      </c>
      <c r="C151">
        <v>2211</v>
      </c>
      <c r="D151" s="498" cm="1">
        <f t="array" ref="D151">INDEX('Form A Mapping'!C:C, MATCH(1, (C151 &gt;= 'Form A Mapping'!A:A) * (C151 &lt;= 'Form A Mapping'!B:B), 0))</f>
        <v>14</v>
      </c>
      <c r="E151" s="472"/>
      <c r="F151" s="472"/>
      <c r="G151" s="473" t="s">
        <v>414</v>
      </c>
      <c r="H151" s="473"/>
      <c r="I151" s="476">
        <f t="shared" si="8"/>
        <v>0</v>
      </c>
      <c r="J151" s="478"/>
    </row>
    <row r="152" spans="1:10">
      <c r="A152" t="str">
        <f t="shared" si="7"/>
        <v>6102211</v>
      </c>
      <c r="B152">
        <v>122</v>
      </c>
      <c r="C152">
        <v>2211</v>
      </c>
      <c r="D152" s="498" cm="1">
        <f t="array" ref="D152">INDEX('Form A Mapping'!C:C, MATCH(1, (C152 &gt;= 'Form A Mapping'!A:A) * (C152 &lt;= 'Form A Mapping'!B:B), 0))</f>
        <v>14</v>
      </c>
      <c r="E152" s="472"/>
      <c r="F152" s="472"/>
      <c r="G152" s="473" t="s">
        <v>415</v>
      </c>
      <c r="H152" s="473">
        <v>27000</v>
      </c>
      <c r="I152" s="476">
        <f t="shared" si="8"/>
        <v>27000</v>
      </c>
      <c r="J152" s="478"/>
    </row>
    <row r="153" spans="1:10">
      <c r="A153" t="str">
        <f t="shared" si="7"/>
        <v>6102400</v>
      </c>
      <c r="B153">
        <v>122</v>
      </c>
      <c r="C153">
        <v>2400</v>
      </c>
      <c r="D153" s="498" cm="1">
        <f t="array" ref="D153">INDEX('Form A Mapping'!C:C, MATCH(1, (C153 &gt;= 'Form A Mapping'!A:A) * (C153 &lt;= 'Form A Mapping'!B:B), 0))</f>
        <v>16</v>
      </c>
      <c r="E153" s="472"/>
      <c r="F153" s="472"/>
      <c r="G153" s="473" t="s">
        <v>416</v>
      </c>
      <c r="H153" s="473"/>
      <c r="I153" s="476">
        <f t="shared" si="8"/>
        <v>0</v>
      </c>
      <c r="J153" s="478"/>
    </row>
    <row r="154" spans="1:10">
      <c r="A154" t="str">
        <f t="shared" si="7"/>
        <v>6102400</v>
      </c>
      <c r="B154">
        <v>122</v>
      </c>
      <c r="C154">
        <v>2400</v>
      </c>
      <c r="D154" s="498" cm="1">
        <f t="array" ref="D154">INDEX('Form A Mapping'!C:C, MATCH(1, (C154 &gt;= 'Form A Mapping'!A:A) * (C154 &lt;= 'Form A Mapping'!B:B), 0))</f>
        <v>16</v>
      </c>
      <c r="E154" s="472"/>
      <c r="F154" s="472"/>
      <c r="G154" s="473" t="s">
        <v>417</v>
      </c>
      <c r="H154" s="473">
        <v>34500</v>
      </c>
      <c r="I154" s="476">
        <f t="shared" si="8"/>
        <v>34500</v>
      </c>
      <c r="J154" s="478"/>
    </row>
    <row r="155" spans="1:10">
      <c r="A155" t="str">
        <f t="shared" si="7"/>
        <v>6102620</v>
      </c>
      <c r="B155">
        <v>122</v>
      </c>
      <c r="C155">
        <v>2620</v>
      </c>
      <c r="D155" s="498" cm="1">
        <f t="array" ref="D155">INDEX('Form A Mapping'!C:C, MATCH(1, (C155 &gt;= 'Form A Mapping'!A:A) * (C155 &lt;= 'Form A Mapping'!B:B), 0))</f>
        <v>18</v>
      </c>
      <c r="E155" s="472"/>
      <c r="F155" s="472"/>
      <c r="G155" s="473" t="s">
        <v>418</v>
      </c>
      <c r="H155" s="473"/>
      <c r="I155" s="476">
        <f t="shared" si="8"/>
        <v>0</v>
      </c>
      <c r="J155" s="478"/>
    </row>
    <row r="156" spans="1:10">
      <c r="A156" t="str">
        <f t="shared" si="7"/>
        <v>6102620</v>
      </c>
      <c r="B156">
        <v>122</v>
      </c>
      <c r="C156">
        <v>2620</v>
      </c>
      <c r="D156" s="498" cm="1">
        <f t="array" ref="D156">INDEX('Form A Mapping'!C:C, MATCH(1, (C156 &gt;= 'Form A Mapping'!A:A) * (C156 &lt;= 'Form A Mapping'!B:B), 0))</f>
        <v>18</v>
      </c>
      <c r="E156" s="472"/>
      <c r="F156" s="472"/>
      <c r="G156" s="473" t="s">
        <v>419</v>
      </c>
      <c r="H156" s="473">
        <v>26250</v>
      </c>
      <c r="I156" s="476">
        <f t="shared" si="8"/>
        <v>26250</v>
      </c>
      <c r="J156" s="478"/>
    </row>
    <row r="157" spans="1:10">
      <c r="A157" t="str">
        <f t="shared" si="7"/>
        <v>6151100</v>
      </c>
      <c r="B157">
        <v>126</v>
      </c>
      <c r="C157">
        <v>1100</v>
      </c>
      <c r="D157" s="498" cm="1">
        <f t="array" ref="D157">INDEX('Form A Mapping'!C:C, MATCH(1, (C157 &gt;= 'Form A Mapping'!A:A) * (C157 &lt;= 'Form A Mapping'!B:B), 0))</f>
        <v>7</v>
      </c>
      <c r="E157" s="472"/>
      <c r="F157" s="472"/>
      <c r="G157" s="473" t="s">
        <v>420</v>
      </c>
      <c r="H157" s="473"/>
      <c r="I157" s="476">
        <f t="shared" si="8"/>
        <v>0</v>
      </c>
      <c r="J157" s="478"/>
    </row>
    <row r="158" spans="1:10">
      <c r="A158" t="str">
        <f t="shared" si="7"/>
        <v>6151100</v>
      </c>
      <c r="B158">
        <v>126</v>
      </c>
      <c r="C158">
        <v>1100</v>
      </c>
      <c r="D158" s="498" cm="1">
        <f t="array" ref="D158">INDEX('Form A Mapping'!C:C, MATCH(1, (C158 &gt;= 'Form A Mapping'!A:A) * (C158 &lt;= 'Form A Mapping'!B:B), 0))</f>
        <v>7</v>
      </c>
      <c r="E158" s="472"/>
      <c r="F158" s="472"/>
      <c r="G158" s="473" t="s">
        <v>421</v>
      </c>
      <c r="H158" s="473">
        <v>43750</v>
      </c>
      <c r="I158" s="476">
        <f t="shared" si="8"/>
        <v>43750</v>
      </c>
      <c r="J158" s="478"/>
    </row>
    <row r="159" spans="1:10">
      <c r="A159" t="str">
        <f t="shared" si="7"/>
        <v>6152400</v>
      </c>
      <c r="B159">
        <v>126</v>
      </c>
      <c r="C159">
        <v>2400</v>
      </c>
      <c r="D159" s="498" cm="1">
        <f t="array" ref="D159">INDEX('Form A Mapping'!C:C, MATCH(1, (C159 &gt;= 'Form A Mapping'!A:A) * (C159 &lt;= 'Form A Mapping'!B:B), 0))</f>
        <v>16</v>
      </c>
      <c r="E159" s="472"/>
      <c r="F159" s="472"/>
      <c r="G159" s="473" t="s">
        <v>422</v>
      </c>
      <c r="H159" s="473"/>
      <c r="I159" s="476">
        <f t="shared" si="8"/>
        <v>0</v>
      </c>
      <c r="J159" s="478"/>
    </row>
    <row r="160" spans="1:10">
      <c r="A160" t="str">
        <f t="shared" si="7"/>
        <v>6152400</v>
      </c>
      <c r="B160">
        <v>126</v>
      </c>
      <c r="C160">
        <v>2400</v>
      </c>
      <c r="D160" s="498" cm="1">
        <f t="array" ref="D160">INDEX('Form A Mapping'!C:C, MATCH(1, (C160 &gt;= 'Form A Mapping'!A:A) * (C160 &lt;= 'Form A Mapping'!B:B), 0))</f>
        <v>16</v>
      </c>
      <c r="E160" s="472"/>
      <c r="F160" s="472"/>
      <c r="G160" s="473" t="s">
        <v>423</v>
      </c>
      <c r="H160" s="473">
        <v>13750</v>
      </c>
      <c r="I160" s="476">
        <f t="shared" si="8"/>
        <v>13750</v>
      </c>
      <c r="J160" s="478"/>
    </row>
    <row r="161" spans="1:13">
      <c r="A161" t="str">
        <f t="shared" si="7"/>
        <v>6222620</v>
      </c>
      <c r="B161">
        <v>123</v>
      </c>
      <c r="C161">
        <v>2620</v>
      </c>
      <c r="D161" s="498" cm="1">
        <f t="array" ref="D161">INDEX('Form A Mapping'!C:C, MATCH(1, (C161 &gt;= 'Form A Mapping'!A:A) * (C161 &lt;= 'Form A Mapping'!B:B), 0))</f>
        <v>18</v>
      </c>
      <c r="E161" s="472"/>
      <c r="F161" s="472"/>
      <c r="G161" s="473" t="s">
        <v>424</v>
      </c>
      <c r="H161" s="473"/>
      <c r="I161" s="476">
        <f t="shared" si="8"/>
        <v>0</v>
      </c>
      <c r="J161" s="478"/>
    </row>
    <row r="162" spans="1:13">
      <c r="A162" t="str">
        <f t="shared" si="7"/>
        <v>6222620</v>
      </c>
      <c r="B162">
        <v>123</v>
      </c>
      <c r="C162">
        <v>2620</v>
      </c>
      <c r="D162" s="498" cm="1">
        <f t="array" ref="D162">INDEX('Form A Mapping'!C:C, MATCH(1, (C162 &gt;= 'Form A Mapping'!A:A) * (C162 &lt;= 'Form A Mapping'!B:B), 0))</f>
        <v>18</v>
      </c>
      <c r="E162" s="472"/>
      <c r="F162" s="472"/>
      <c r="G162" s="473" t="s">
        <v>425</v>
      </c>
      <c r="H162" s="473">
        <v>112500</v>
      </c>
      <c r="I162" s="476">
        <f t="shared" si="8"/>
        <v>112500</v>
      </c>
      <c r="J162" s="478"/>
    </row>
    <row r="163" spans="1:13">
      <c r="A163" t="str">
        <f t="shared" si="7"/>
        <v>6421100</v>
      </c>
      <c r="B163">
        <v>125</v>
      </c>
      <c r="C163">
        <v>1100</v>
      </c>
      <c r="D163" s="498" cm="1">
        <f t="array" ref="D163">INDEX('Form A Mapping'!C:C, MATCH(1, (C163 &gt;= 'Form A Mapping'!A:A) * (C163 &lt;= 'Form A Mapping'!B:B), 0))</f>
        <v>7</v>
      </c>
      <c r="E163" s="472"/>
      <c r="F163" s="472"/>
      <c r="G163" s="473" t="s">
        <v>426</v>
      </c>
      <c r="H163" s="473"/>
      <c r="I163" s="476">
        <f t="shared" si="8"/>
        <v>0</v>
      </c>
      <c r="J163" s="478"/>
    </row>
    <row r="164" spans="1:13">
      <c r="A164" t="str">
        <f t="shared" ref="A164:A173" si="9">LEFT(G164, 7)</f>
        <v>6421100</v>
      </c>
      <c r="B164">
        <v>125</v>
      </c>
      <c r="C164">
        <v>1100</v>
      </c>
      <c r="D164" s="498" cm="1">
        <f t="array" ref="D164">INDEX('Form A Mapping'!C:C, MATCH(1, (C164 &gt;= 'Form A Mapping'!A:A) * (C164 &lt;= 'Form A Mapping'!B:B), 0))</f>
        <v>7</v>
      </c>
      <c r="E164" s="472"/>
      <c r="F164" s="472"/>
      <c r="G164" s="473" t="s">
        <v>427</v>
      </c>
      <c r="H164" s="473">
        <v>37500</v>
      </c>
      <c r="I164" s="476">
        <f t="shared" si="8"/>
        <v>37500</v>
      </c>
      <c r="J164" s="478"/>
    </row>
    <row r="165" spans="1:13">
      <c r="A165" t="str">
        <f t="shared" si="9"/>
        <v>Supplie</v>
      </c>
      <c r="E165" s="472"/>
      <c r="F165" s="472"/>
      <c r="G165" s="479" t="s">
        <v>255</v>
      </c>
      <c r="H165" s="603">
        <f>SUM(H145:H164)</f>
        <v>396250</v>
      </c>
      <c r="I165" s="476"/>
      <c r="J165" s="478"/>
    </row>
    <row r="166" spans="1:13">
      <c r="A166" t="str">
        <f t="shared" si="9"/>
        <v/>
      </c>
      <c r="E166" s="472"/>
      <c r="F166" s="472" t="s">
        <v>256</v>
      </c>
      <c r="G166" s="473"/>
      <c r="H166" s="473"/>
      <c r="I166" s="476"/>
      <c r="J166" s="478"/>
    </row>
    <row r="167" spans="1:13">
      <c r="A167" t="str">
        <f t="shared" si="9"/>
        <v>8102400</v>
      </c>
      <c r="B167">
        <v>135</v>
      </c>
      <c r="C167">
        <v>2400</v>
      </c>
      <c r="D167" s="498" cm="1">
        <f t="array" ref="D167">INDEX('Form A Mapping'!C:C, MATCH(1, (C167 &gt;= 'Form A Mapping'!A:A) * (C167 &lt;= 'Form A Mapping'!B:B), 0))</f>
        <v>16</v>
      </c>
      <c r="E167" s="472"/>
      <c r="F167" s="472"/>
      <c r="G167" s="473" t="s">
        <v>428</v>
      </c>
      <c r="H167" s="473"/>
      <c r="I167" s="476">
        <f t="shared" si="8"/>
        <v>0</v>
      </c>
      <c r="J167" s="478"/>
    </row>
    <row r="168" spans="1:13">
      <c r="A168" t="str">
        <f t="shared" si="9"/>
        <v>8102400</v>
      </c>
      <c r="B168">
        <v>135</v>
      </c>
      <c r="C168">
        <v>2400</v>
      </c>
      <c r="D168" s="498" cm="1">
        <f t="array" ref="D168">INDEX('Form A Mapping'!C:C, MATCH(1, (C168 &gt;= 'Form A Mapping'!A:A) * (C168 &lt;= 'Form A Mapping'!B:B), 0))</f>
        <v>16</v>
      </c>
      <c r="E168" s="472"/>
      <c r="F168" s="472"/>
      <c r="G168" s="473" t="s">
        <v>429</v>
      </c>
      <c r="H168" s="473">
        <v>71000</v>
      </c>
      <c r="I168" s="476">
        <f t="shared" si="8"/>
        <v>71000</v>
      </c>
      <c r="J168" s="478"/>
    </row>
    <row r="169" spans="1:13">
      <c r="A169" t="str">
        <f t="shared" si="9"/>
        <v>Miscell</v>
      </c>
      <c r="E169" s="472"/>
      <c r="F169" s="472"/>
      <c r="G169" s="479" t="s">
        <v>257</v>
      </c>
      <c r="H169" s="479">
        <f>H168</f>
        <v>71000</v>
      </c>
      <c r="I169" s="476"/>
      <c r="J169" s="478"/>
    </row>
    <row r="170" spans="1:13">
      <c r="A170" t="str">
        <f t="shared" si="9"/>
        <v/>
      </c>
      <c r="E170" s="472"/>
      <c r="F170" s="480" t="s">
        <v>258</v>
      </c>
      <c r="G170" s="479"/>
      <c r="H170" s="492">
        <f>H64+H80+H110+H126+H143+H165+H169</f>
        <v>5103661.9719571527</v>
      </c>
      <c r="I170" s="476"/>
      <c r="J170" s="478"/>
      <c r="K170" s="477">
        <f>SUM(J35:J168)</f>
        <v>1621630</v>
      </c>
      <c r="L170" s="484">
        <f>SUM(I35:J170)</f>
        <v>5103661.9719571536</v>
      </c>
      <c r="M170" s="485">
        <v>0.77499461270830483</v>
      </c>
    </row>
    <row r="171" spans="1:13">
      <c r="A171" t="str">
        <f t="shared" si="9"/>
        <v/>
      </c>
      <c r="E171" s="474" t="s">
        <v>259</v>
      </c>
      <c r="F171" s="474"/>
      <c r="G171" s="475"/>
      <c r="H171" s="493">
        <f>H32-H170</f>
        <v>-183247.46411851514</v>
      </c>
      <c r="I171" s="476"/>
      <c r="J171" s="478"/>
      <c r="L171" s="486"/>
      <c r="M171" s="487"/>
    </row>
    <row r="172" spans="1:13">
      <c r="A172" t="str">
        <f t="shared" si="9"/>
        <v/>
      </c>
      <c r="E172" s="494"/>
      <c r="F172" s="494"/>
      <c r="G172" s="495"/>
      <c r="H172" s="495"/>
      <c r="I172" s="476"/>
      <c r="J172" s="478"/>
      <c r="L172" s="486"/>
      <c r="M172" s="487"/>
    </row>
    <row r="173" spans="1:13" ht="16" thickBot="1">
      <c r="A173" t="str">
        <f t="shared" si="9"/>
        <v/>
      </c>
      <c r="E173" s="494"/>
      <c r="F173" s="494"/>
      <c r="G173" s="495"/>
      <c r="H173" s="495"/>
      <c r="I173" s="476"/>
      <c r="J173" s="478"/>
      <c r="K173" s="477">
        <f>K32-K170</f>
        <v>0.275146484375</v>
      </c>
      <c r="L173" s="488">
        <f>L32-L170</f>
        <v>-183247.46411851607</v>
      </c>
      <c r="M173" s="489">
        <v>0</v>
      </c>
    </row>
    <row r="174" spans="1:13">
      <c r="D174">
        <v>26</v>
      </c>
      <c r="G174" t="s">
        <v>739</v>
      </c>
      <c r="I174">
        <v>-185000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12</vt:i4>
      </vt:variant>
    </vt:vector>
  </HeadingPairs>
  <TitlesOfParts>
    <vt:vector size="29" baseType="lpstr">
      <vt:lpstr>Submission Dates</vt:lpstr>
      <vt:lpstr>SemiAnnual Budget 1 Upload</vt:lpstr>
      <vt:lpstr>P&amp;L 2</vt:lpstr>
      <vt:lpstr>P&amp;L SR 2</vt:lpstr>
      <vt:lpstr>P&amp;L 1</vt:lpstr>
      <vt:lpstr>P&amp;L SR 1</vt:lpstr>
      <vt:lpstr>Master Mapping</vt:lpstr>
      <vt:lpstr>FY 24-25 Budget Form A</vt:lpstr>
      <vt:lpstr>FBT</vt:lpstr>
      <vt:lpstr>FY24</vt:lpstr>
      <vt:lpstr>Form A Mapping</vt:lpstr>
      <vt:lpstr>Instruc Annual Budget </vt:lpstr>
      <vt:lpstr>Annual Budget </vt:lpstr>
      <vt:lpstr>Instruc Qtrly Budget</vt:lpstr>
      <vt:lpstr>Qtr 1 Budget</vt:lpstr>
      <vt:lpstr>Qtr 2 Budget</vt:lpstr>
      <vt:lpstr>Qtr 3 Budget</vt:lpstr>
      <vt:lpstr>'Annual Budget '!Print_Area</vt:lpstr>
      <vt:lpstr>'Qtr 1 Budget'!Print_Area</vt:lpstr>
      <vt:lpstr>'Qtr 2 Budget'!Print_Area</vt:lpstr>
      <vt:lpstr>'Qtr 3 Budget'!Print_Area</vt:lpstr>
      <vt:lpstr>'Annual Budget '!Print_Titles</vt:lpstr>
      <vt:lpstr>'Qtr 1 Budget'!Print_Titles</vt:lpstr>
      <vt:lpstr>'Qtr 2 Budget'!Print_Titles</vt:lpstr>
      <vt:lpstr>'Qtr 3 Budget'!Print_Titles</vt:lpstr>
      <vt:lpstr>'Qtr 1 Budget'!Print_Titles_MI</vt:lpstr>
      <vt:lpstr>'Qtr 2 Budget'!Print_Titles_MI</vt:lpstr>
      <vt:lpstr>'Qtr 3 Budget'!Print_Titles_MI</vt:lpstr>
      <vt:lpstr>Print_Titles_MI</vt:lpstr>
    </vt:vector>
  </TitlesOfParts>
  <Company>LaDOE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cstevens</dc:creator>
  <cp:lastModifiedBy>Sherah LeBoeuf</cp:lastModifiedBy>
  <cp:lastPrinted>2021-08-20T19:11:52Z</cp:lastPrinted>
  <dcterms:created xsi:type="dcterms:W3CDTF">2001-08-10T20:35:30Z</dcterms:created>
  <dcterms:modified xsi:type="dcterms:W3CDTF">2025-09-03T02:34:11Z</dcterms:modified>
</cp:coreProperties>
</file>